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75" windowWidth="12030" windowHeight="6885" tabRatio="598"/>
  </bookViews>
  <sheets>
    <sheet name="Parcelados" sheetId="1" r:id="rId1"/>
    <sheet name="Créditos" sheetId="3" r:id="rId2"/>
  </sheets>
  <calcPr calcId="124519"/>
</workbook>
</file>

<file path=xl/calcChain.xml><?xml version="1.0" encoding="utf-8"?>
<calcChain xmlns="http://schemas.openxmlformats.org/spreadsheetml/2006/main">
  <c r="G60" i="1"/>
  <c r="L38"/>
  <c r="G120"/>
  <c r="L17"/>
  <c r="L44" s="1"/>
  <c r="N19"/>
  <c r="N21"/>
  <c r="N22"/>
  <c r="K23"/>
  <c r="E24"/>
  <c r="G24"/>
  <c r="J24"/>
  <c r="O51"/>
  <c r="N54"/>
  <c r="P54"/>
  <c r="O56"/>
  <c r="L57" s="1"/>
  <c r="J58" s="1"/>
  <c r="J59" s="1"/>
  <c r="L70"/>
  <c r="L92" s="1"/>
  <c r="L74"/>
  <c r="L86" s="1"/>
  <c r="L76"/>
  <c r="K87" s="1"/>
  <c r="K90"/>
  <c r="L100"/>
  <c r="L102"/>
  <c r="N112"/>
  <c r="N114"/>
  <c r="L120" s="1"/>
  <c r="J115"/>
  <c r="K115"/>
  <c r="G116"/>
  <c r="K116"/>
  <c r="D117"/>
  <c r="J118"/>
  <c r="K119"/>
  <c r="I120"/>
  <c r="I121"/>
  <c r="J123"/>
  <c r="H124"/>
  <c r="J124"/>
  <c r="M125"/>
  <c r="I126"/>
  <c r="L126"/>
  <c r="K127"/>
  <c r="F128"/>
  <c r="K128"/>
  <c r="N128"/>
  <c r="K129"/>
  <c r="K130"/>
  <c r="K131"/>
  <c r="L131"/>
  <c r="E132"/>
  <c r="F134"/>
  <c r="F122" l="1"/>
  <c r="L108"/>
  <c r="G122"/>
  <c r="N84"/>
  <c r="H25"/>
  <c r="G26" s="1"/>
  <c r="K85"/>
  <c r="J126"/>
  <c r="G126"/>
  <c r="O49"/>
  <c r="L54" s="1"/>
  <c r="E25"/>
  <c r="E26" s="1"/>
  <c r="E27" s="1"/>
  <c r="N111"/>
  <c r="J89"/>
  <c r="I90" s="1"/>
  <c r="L56"/>
  <c r="J56"/>
  <c r="J54"/>
  <c r="G56"/>
  <c r="G54"/>
  <c r="L46"/>
  <c r="L47" s="1"/>
  <c r="E116"/>
  <c r="G119" s="1"/>
  <c r="L89"/>
  <c r="J88"/>
  <c r="J86"/>
  <c r="N83"/>
  <c r="L88"/>
  <c r="L72"/>
  <c r="J57" l="1"/>
  <c r="O50"/>
  <c r="G57"/>
  <c r="L80"/>
  <c r="N92" s="1"/>
  <c r="G89"/>
  <c r="L79"/>
  <c r="J92" s="1"/>
  <c r="G90"/>
  <c r="G91"/>
  <c r="N82"/>
  <c r="G86"/>
  <c r="G88"/>
  <c r="E121"/>
  <c r="E123"/>
  <c r="E125"/>
  <c r="G134"/>
  <c r="H134" s="1"/>
  <c r="E129"/>
  <c r="E127"/>
  <c r="E131"/>
  <c r="E133"/>
  <c r="G58" l="1"/>
  <c r="G59" s="1"/>
</calcChain>
</file>

<file path=xl/sharedStrings.xml><?xml version="1.0" encoding="utf-8"?>
<sst xmlns="http://schemas.openxmlformats.org/spreadsheetml/2006/main" count="191" uniqueCount="117">
  <si>
    <t>Juros Compostos</t>
  </si>
  <si>
    <t>Cálculos que  envolvem prestações mensais fixas</t>
  </si>
  <si>
    <t>% ao mês</t>
  </si>
  <si>
    <t xml:space="preserve"> Aguarde o Valor da Parcela =&gt;</t>
  </si>
  <si>
    <t>Coloque a Taxa  mensal =&gt;</t>
  </si>
  <si>
    <t>Coloque o Valor máximo da Parcela =&gt;</t>
  </si>
  <si>
    <t>por mês</t>
  </si>
  <si>
    <t xml:space="preserve"> Aguarde o Número de Parcelas=&gt;</t>
  </si>
  <si>
    <t xml:space="preserve"> Aguarde o Valor  exato da Parcela =&gt;</t>
  </si>
  <si>
    <t>Coloque o Capital Inicial total=&gt;</t>
  </si>
  <si>
    <t>Coloque a entrada =&gt;</t>
  </si>
  <si>
    <t>Coloque o Valor  da Parcela =&gt;</t>
  </si>
  <si>
    <t>Coloque o número de Parcelas =&gt;</t>
  </si>
  <si>
    <t>meses</t>
  </si>
  <si>
    <t>( sem  contar a entrada )</t>
  </si>
  <si>
    <t xml:space="preserve"> Aguarde a taxa mensal=&gt;</t>
  </si>
  <si>
    <t xml:space="preserve"> ao mês</t>
  </si>
  <si>
    <t>Coloque o valor da entrada=&gt;</t>
  </si>
  <si>
    <t>Coloque de cada parcela =&gt;</t>
  </si>
  <si>
    <t>&lt;=Resultado</t>
  </si>
  <si>
    <t>n</t>
  </si>
  <si>
    <t>Va=P[ 1 - (1+i)  ] / i</t>
  </si>
  <si>
    <t>1)</t>
  </si>
  <si>
    <t>2)</t>
  </si>
  <si>
    <t>3)</t>
  </si>
  <si>
    <t>x</t>
  </si>
  <si>
    <t>P  =</t>
  </si>
  <si>
    <t>/</t>
  </si>
  <si>
    <t>]</t>
  </si>
  <si>
    <t>p  =</t>
  </si>
  <si>
    <t>parcelas</t>
  </si>
  <si>
    <t>/  [   1   -</t>
  </si>
  <si>
    <t>=&gt;</t>
  </si>
  <si>
    <t>P</t>
  </si>
  <si>
    <t xml:space="preserve">Fórmula utilizada </t>
  </si>
  <si>
    <r>
      <t xml:space="preserve">- </t>
    </r>
    <r>
      <rPr>
        <b/>
        <sz val="9"/>
        <color indexed="55"/>
        <rFont val="Arial"/>
        <family val="2"/>
      </rPr>
      <t>n</t>
    </r>
  </si>
  <si>
    <r>
      <t xml:space="preserve"> Va = P</t>
    </r>
    <r>
      <rPr>
        <b/>
        <sz val="14"/>
        <color indexed="55"/>
        <rFont val="Times New Roman"/>
        <family val="1"/>
      </rPr>
      <t>[</t>
    </r>
    <r>
      <rPr>
        <b/>
        <sz val="12"/>
        <color indexed="55"/>
        <rFont val="Times New Roman"/>
        <family val="1"/>
      </rPr>
      <t xml:space="preserve"> 1 </t>
    </r>
    <r>
      <rPr>
        <b/>
        <sz val="14"/>
        <color indexed="55"/>
        <rFont val="Times New Roman"/>
        <family val="1"/>
      </rPr>
      <t>-</t>
    </r>
    <r>
      <rPr>
        <b/>
        <sz val="12"/>
        <color indexed="55"/>
        <rFont val="Times New Roman"/>
        <family val="1"/>
      </rPr>
      <t xml:space="preserve"> (1+i)    </t>
    </r>
    <r>
      <rPr>
        <b/>
        <sz val="14"/>
        <color indexed="55"/>
        <rFont val="Times New Roman"/>
        <family val="1"/>
      </rPr>
      <t>]</t>
    </r>
    <r>
      <rPr>
        <b/>
        <sz val="12"/>
        <color indexed="55"/>
        <rFont val="Times New Roman"/>
        <family val="1"/>
      </rPr>
      <t xml:space="preserve"> / i</t>
    </r>
  </si>
  <si>
    <t xml:space="preserve">     Coloque a Taxa  Mensal =&gt;</t>
  </si>
  <si>
    <t xml:space="preserve">     Coloque o Número de Parcelas =&gt;</t>
  </si>
  <si>
    <t>Obs.: Complete somente as células de fundo branco</t>
  </si>
  <si>
    <t xml:space="preserve"> -n</t>
  </si>
  <si>
    <t>Valor que pode pagar por mês</t>
  </si>
  <si>
    <t xml:space="preserve">     Coloque o valor da entrada  ou zero=&gt;</t>
  </si>
  <si>
    <t>Coloque o Capital Inicial  ou valor à vista=&gt;</t>
  </si>
  <si>
    <t>Coloque o valor da entrada  ou digite  0 =&gt;</t>
  </si>
  <si>
    <r>
      <t xml:space="preserve">     </t>
    </r>
    <r>
      <rPr>
        <b/>
        <sz val="12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>n</t>
    </r>
  </si>
  <si>
    <r>
      <t>P</t>
    </r>
    <r>
      <rPr>
        <b/>
        <sz val="12"/>
        <color indexed="8"/>
        <rFont val="Times New Roman"/>
        <family val="1"/>
      </rPr>
      <t>=</t>
    </r>
    <r>
      <rPr>
        <b/>
        <sz val="12"/>
        <color indexed="14"/>
        <rFont val="Times New Roman"/>
        <family val="1"/>
      </rPr>
      <t>Va</t>
    </r>
    <r>
      <rPr>
        <b/>
        <sz val="6"/>
        <color indexed="8"/>
        <rFont val="Times New Roman"/>
        <family val="1"/>
      </rPr>
      <t>x</t>
    </r>
    <r>
      <rPr>
        <b/>
        <sz val="12"/>
        <color indexed="17"/>
        <rFont val="Times New Roman"/>
        <family val="1"/>
      </rPr>
      <t>i</t>
    </r>
    <r>
      <rPr>
        <b/>
        <sz val="12"/>
        <color indexed="8"/>
        <rFont val="Times New Roman"/>
        <family val="1"/>
      </rPr>
      <t>/[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55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- (1+</t>
    </r>
    <r>
      <rPr>
        <b/>
        <sz val="12"/>
        <color indexed="17"/>
        <rFont val="Times New Roman"/>
        <family val="1"/>
      </rPr>
      <t>i</t>
    </r>
    <r>
      <rPr>
        <b/>
        <sz val="12"/>
        <color indexed="8"/>
        <rFont val="Times New Roman"/>
        <family val="1"/>
      </rPr>
      <t>)  ]</t>
    </r>
  </si>
  <si>
    <r>
      <t xml:space="preserve">P  </t>
    </r>
    <r>
      <rPr>
        <b/>
        <sz val="10"/>
        <color indexed="8"/>
        <rFont val="Arial"/>
        <family val="2"/>
      </rPr>
      <t xml:space="preserve"> =</t>
    </r>
  </si>
  <si>
    <r>
      <t xml:space="preserve"> </t>
    </r>
    <r>
      <rPr>
        <b/>
        <sz val="14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[</t>
    </r>
    <r>
      <rPr>
        <b/>
        <sz val="10"/>
        <color indexed="8"/>
        <rFont val="Arial"/>
        <family val="2"/>
      </rPr>
      <t xml:space="preserve"> 1 </t>
    </r>
    <r>
      <rPr>
        <b/>
        <sz val="14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(   1  +</t>
    </r>
  </si>
  <si>
    <r>
      <t xml:space="preserve">)     </t>
    </r>
    <r>
      <rPr>
        <b/>
        <sz val="14"/>
        <color indexed="8"/>
        <rFont val="Arial"/>
        <family val="2"/>
      </rPr>
      <t>]</t>
    </r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</si>
  <si>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menos </t>
    </r>
    <r>
      <rPr>
        <b/>
        <sz val="9"/>
        <color indexed="45"/>
        <rFont val="Arial"/>
        <family val="2"/>
      </rPr>
      <t>a entrada</t>
    </r>
  </si>
  <si>
    <r>
      <t>P</t>
    </r>
    <r>
      <rPr>
        <b/>
        <sz val="9"/>
        <color indexed="55"/>
        <rFont val="Arial"/>
        <family val="2"/>
      </rPr>
      <t>=Valor da Parcela</t>
    </r>
  </si>
  <si>
    <r>
      <t>i</t>
    </r>
    <r>
      <rPr>
        <b/>
        <sz val="10"/>
        <color indexed="55"/>
        <rFont val="Arial"/>
        <family val="2"/>
      </rPr>
      <t>= Taxa unitária</t>
    </r>
  </si>
  <si>
    <r>
      <t>n</t>
    </r>
    <r>
      <rPr>
        <b/>
        <sz val="9"/>
        <color indexed="55"/>
        <rFont val="Arial"/>
        <family val="2"/>
      </rPr>
      <t xml:space="preserve">= Número de parcelas mensais </t>
    </r>
    <r>
      <rPr>
        <b/>
        <sz val="9"/>
        <color indexed="23"/>
        <rFont val="Arial"/>
        <family val="2"/>
      </rPr>
      <t>fora</t>
    </r>
    <r>
      <rPr>
        <b/>
        <sz val="9"/>
        <color indexed="55"/>
        <rFont val="Arial"/>
        <family val="2"/>
      </rPr>
      <t xml:space="preserve"> a entrada</t>
    </r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</si>
  <si>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</t>
    </r>
    <r>
      <rPr>
        <b/>
        <sz val="14"/>
        <color indexed="55"/>
        <rFont val="Arial"/>
        <family val="2"/>
      </rPr>
      <t>-</t>
    </r>
    <r>
      <rPr>
        <b/>
        <sz val="9"/>
        <color indexed="55"/>
        <rFont val="Arial"/>
        <family val="2"/>
      </rPr>
      <t xml:space="preserve"> </t>
    </r>
    <r>
      <rPr>
        <b/>
        <sz val="9"/>
        <color indexed="45"/>
        <rFont val="Arial"/>
        <family val="2"/>
      </rPr>
      <t>a entrada</t>
    </r>
  </si>
  <si>
    <t xml:space="preserve">   /       (</t>
  </si>
  <si>
    <t>-</t>
  </si>
  <si>
    <t>)</t>
  </si>
  <si>
    <r>
      <t>n</t>
    </r>
    <r>
      <rPr>
        <b/>
        <sz val="14"/>
        <color indexed="8"/>
        <rFont val="Times New Roman"/>
        <family val="1"/>
      </rPr>
      <t>=</t>
    </r>
  </si>
  <si>
    <t xml:space="preserve">)  ] /  ln ( </t>
  </si>
  <si>
    <t xml:space="preserve">   /    </t>
  </si>
  <si>
    <t xml:space="preserve">  ] /  ln ( </t>
  </si>
  <si>
    <t xml:space="preserve">  ]   /   ln  ( </t>
  </si>
  <si>
    <t>) ] /  ln ( 1 +</t>
  </si>
  <si>
    <t xml:space="preserve">       /    </t>
  </si>
  <si>
    <t>Resultado</t>
  </si>
  <si>
    <r>
      <t>Cálculo do valor da</t>
    </r>
    <r>
      <rPr>
        <b/>
        <sz val="14"/>
        <color indexed="60"/>
        <rFont val="Arial"/>
        <family val="2"/>
      </rPr>
      <t xml:space="preserve"> Parcela</t>
    </r>
  </si>
  <si>
    <r>
      <t xml:space="preserve">Cálculo do </t>
    </r>
    <r>
      <rPr>
        <b/>
        <sz val="14"/>
        <color indexed="12"/>
        <rFont val="Arial"/>
        <family val="2"/>
      </rPr>
      <t>número</t>
    </r>
    <r>
      <rPr>
        <b/>
        <sz val="14"/>
        <color indexed="8"/>
        <rFont val="Arial"/>
        <family val="2"/>
      </rPr>
      <t xml:space="preserve"> de Parcelas</t>
    </r>
  </si>
  <si>
    <t xml:space="preserve">     Coloque o Capital Inicial  ou valor à vista =&gt;</t>
  </si>
  <si>
    <t>Va = Valor à vista nenos entrada</t>
  </si>
  <si>
    <t>P=Valor da Parcela mensal fixa</t>
  </si>
  <si>
    <t>n=número de parcelas sem a entrada</t>
  </si>
  <si>
    <t>-n</t>
  </si>
  <si>
    <t xml:space="preserve">     Va=P[ 1 - (1+i)  ] / i</t>
  </si>
  <si>
    <t>VA</t>
  </si>
  <si>
    <t xml:space="preserve">[ 1 - (   1  + </t>
  </si>
  <si>
    <t xml:space="preserve">)  ]    / </t>
  </si>
  <si>
    <r>
      <t xml:space="preserve">Va </t>
    </r>
    <r>
      <rPr>
        <b/>
        <sz val="12"/>
        <color indexed="8"/>
        <rFont val="Arial"/>
        <family val="2"/>
      </rPr>
      <t>=</t>
    </r>
  </si>
  <si>
    <t xml:space="preserve">[ 1     -     (  </t>
  </si>
  <si>
    <t>[</t>
  </si>
  <si>
    <t>]     /</t>
  </si>
  <si>
    <t xml:space="preserve"> Aguarde o Valor à vista =&gt;</t>
  </si>
  <si>
    <t xml:space="preserve"> Aguarde o Valor atual (valor financiado) =&gt;</t>
  </si>
  <si>
    <t>=</t>
  </si>
  <si>
    <t>+</t>
  </si>
  <si>
    <t>Valor à vista=Valor financiado+ entrada</t>
  </si>
  <si>
    <r>
      <t xml:space="preserve">Cálculo do </t>
    </r>
    <r>
      <rPr>
        <b/>
        <sz val="14"/>
        <color indexed="14"/>
        <rFont val="Arial"/>
        <family val="2"/>
      </rPr>
      <t>valor Atual</t>
    </r>
  </si>
  <si>
    <r>
      <t>n</t>
    </r>
    <r>
      <rPr>
        <b/>
        <sz val="9"/>
        <color indexed="55"/>
        <rFont val="Arial"/>
        <family val="2"/>
      </rPr>
      <t xml:space="preserve">= Número de parcelas mensais </t>
    </r>
    <r>
      <rPr>
        <b/>
        <sz val="9"/>
        <color indexed="23"/>
        <rFont val="Arial"/>
        <family val="2"/>
      </rPr>
      <t>fora</t>
    </r>
    <r>
      <rPr>
        <b/>
        <sz val="9"/>
        <color indexed="55"/>
        <rFont val="Arial"/>
        <family val="2"/>
      </rPr>
      <t xml:space="preserve"> a entrada=&gt;</t>
    </r>
  </si>
  <si>
    <t>Va = P[ 1 -  (1 + i )    ] / i</t>
  </si>
  <si>
    <t>Va=P[ 1 - (1 + i )  ] / i</t>
  </si>
  <si>
    <r>
      <t xml:space="preserve">Cálculo da </t>
    </r>
    <r>
      <rPr>
        <b/>
        <sz val="14"/>
        <color indexed="17"/>
        <rFont val="Arial"/>
        <family val="2"/>
      </rPr>
      <t>taxa</t>
    </r>
    <r>
      <rPr>
        <b/>
        <sz val="14"/>
        <color indexed="8"/>
        <rFont val="Arial"/>
        <family val="2"/>
      </rPr>
      <t xml:space="preserve">  mensal </t>
    </r>
  </si>
  <si>
    <r>
      <t xml:space="preserve">i   é a taxa unitária  </t>
    </r>
    <r>
      <rPr>
        <b/>
        <sz val="10"/>
        <color indexed="17"/>
        <rFont val="Arial"/>
        <family val="2"/>
      </rPr>
      <t>ou   taxa porcentual dividida por 100</t>
    </r>
  </si>
  <si>
    <t>i ?</t>
  </si>
  <si>
    <r>
      <t>Va</t>
    </r>
    <r>
      <rPr>
        <b/>
        <sz val="9"/>
        <color indexed="55"/>
        <rFont val="Arial"/>
        <family val="2"/>
      </rPr>
      <t xml:space="preserve">=Valor Atual ou </t>
    </r>
    <r>
      <rPr>
        <b/>
        <sz val="9"/>
        <color indexed="53"/>
        <rFont val="Arial"/>
        <family val="2"/>
      </rPr>
      <t>Valor à vista</t>
    </r>
    <r>
      <rPr>
        <b/>
        <sz val="9"/>
        <color indexed="55"/>
        <rFont val="Arial"/>
        <family val="2"/>
      </rPr>
      <t xml:space="preserve">  </t>
    </r>
    <r>
      <rPr>
        <b/>
        <sz val="14"/>
        <color indexed="8"/>
        <rFont val="Arial"/>
        <family val="2"/>
      </rPr>
      <t>-</t>
    </r>
    <r>
      <rPr>
        <b/>
        <sz val="9"/>
        <color indexed="55"/>
        <rFont val="Arial"/>
        <family val="2"/>
      </rPr>
      <t xml:space="preserve"> </t>
    </r>
    <r>
      <rPr>
        <b/>
        <sz val="9"/>
        <color indexed="14"/>
        <rFont val="Arial"/>
        <family val="2"/>
      </rPr>
      <t>a entrada</t>
    </r>
  </si>
  <si>
    <r>
      <t xml:space="preserve">[ 1 - ( 1 + </t>
    </r>
    <r>
      <rPr>
        <b/>
        <sz val="14"/>
        <color indexed="17"/>
        <rFont val="Times New Roman"/>
        <family val="1"/>
      </rPr>
      <t xml:space="preserve">i </t>
    </r>
    <r>
      <rPr>
        <b/>
        <sz val="14"/>
        <color indexed="8"/>
        <rFont val="Times New Roman"/>
        <family val="1"/>
      </rPr>
      <t xml:space="preserve">)  ] / </t>
    </r>
    <r>
      <rPr>
        <b/>
        <sz val="14"/>
        <color indexed="17"/>
        <rFont val="Times New Roman"/>
        <family val="1"/>
      </rPr>
      <t>i</t>
    </r>
  </si>
  <si>
    <t>4)</t>
  </si>
  <si>
    <r>
      <t xml:space="preserve">[ 1 - ( 1 + </t>
    </r>
    <r>
      <rPr>
        <b/>
        <sz val="14"/>
        <color indexed="17"/>
        <rFont val="Times New Roman"/>
        <family val="1"/>
      </rPr>
      <t xml:space="preserve">i </t>
    </r>
    <r>
      <rPr>
        <b/>
        <sz val="14"/>
        <color indexed="8"/>
        <rFont val="Times New Roman"/>
        <family val="1"/>
      </rPr>
      <t xml:space="preserve">)  ] / </t>
    </r>
    <r>
      <rPr>
        <b/>
        <sz val="14"/>
        <color indexed="17"/>
        <rFont val="Times New Roman"/>
        <family val="1"/>
      </rPr>
      <t>i</t>
    </r>
    <r>
      <rPr>
        <b/>
        <sz val="14"/>
        <color indexed="8"/>
        <rFont val="Times New Roman"/>
        <family val="1"/>
      </rPr>
      <t>=0</t>
    </r>
  </si>
  <si>
    <t>Ver  processo de procura de i por tabelas</t>
  </si>
  <si>
    <t>taxa_metodo_tabela.xls</t>
  </si>
  <si>
    <r>
      <t xml:space="preserve">     Va=P[ 1 - (1+i) </t>
    </r>
    <r>
      <rPr>
        <b/>
        <vertAlign val="superscript"/>
        <sz val="14"/>
        <color indexed="55"/>
        <rFont val="Times New Roman"/>
        <family val="1"/>
      </rPr>
      <t>-n</t>
    </r>
    <r>
      <rPr>
        <b/>
        <sz val="14"/>
        <color indexed="55"/>
        <rFont val="Times New Roman"/>
        <family val="1"/>
      </rPr>
      <t xml:space="preserve"> ] / i</t>
    </r>
  </si>
  <si>
    <r>
      <t xml:space="preserve">     </t>
    </r>
    <r>
      <rPr>
        <b/>
        <sz val="14"/>
        <color indexed="14"/>
        <rFont val="Times New Roman"/>
        <family val="1"/>
      </rPr>
      <t>Va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60"/>
        <rFont val="Times New Roman"/>
        <family val="1"/>
      </rPr>
      <t>P</t>
    </r>
    <r>
      <rPr>
        <b/>
        <sz val="14"/>
        <color indexed="8"/>
        <rFont val="Times New Roman"/>
        <family val="1"/>
      </rPr>
      <t xml:space="preserve">=[ 1 </t>
    </r>
    <r>
      <rPr>
        <sz val="14"/>
        <color indexed="8"/>
        <rFont val="Times New Roman"/>
        <family val="1"/>
      </rPr>
      <t xml:space="preserve">- </t>
    </r>
    <r>
      <rPr>
        <b/>
        <sz val="14"/>
        <color indexed="8"/>
        <rFont val="Times New Roman"/>
        <family val="1"/>
      </rPr>
      <t xml:space="preserve">(1+ </t>
    </r>
    <r>
      <rPr>
        <b/>
        <sz val="14"/>
        <color indexed="17"/>
        <rFont val="Times New Roman"/>
        <family val="1"/>
      </rPr>
      <t>i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)</t>
    </r>
    <r>
      <rPr>
        <b/>
        <vertAlign val="superscript"/>
        <sz val="14"/>
        <color indexed="8"/>
        <rFont val="Times New Roman"/>
        <family val="1"/>
      </rPr>
      <t>-n</t>
    </r>
    <r>
      <rPr>
        <b/>
        <vertAlign val="superscript"/>
        <sz val="14"/>
        <color indexed="55"/>
        <rFont val="Times New Roman"/>
        <family val="1"/>
      </rPr>
      <t xml:space="preserve">  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] /</t>
    </r>
    <r>
      <rPr>
        <b/>
        <sz val="14"/>
        <color indexed="55"/>
        <rFont val="Times New Roman"/>
        <family val="1"/>
      </rPr>
      <t xml:space="preserve"> </t>
    </r>
    <r>
      <rPr>
        <b/>
        <sz val="14"/>
        <color indexed="21"/>
        <rFont val="Times New Roman"/>
        <family val="1"/>
      </rPr>
      <t>i</t>
    </r>
  </si>
  <si>
    <t xml:space="preserve">)     ]    / </t>
  </si>
  <si>
    <t xml:space="preserve">)    ]    / </t>
  </si>
  <si>
    <t>Como calcular manualmente? Veja abaixo</t>
  </si>
  <si>
    <t xml:space="preserve">           -n</t>
  </si>
  <si>
    <t xml:space="preserve">Veja mais em: </t>
  </si>
  <si>
    <t>http://www.projetos.unijui.edu.br/matematica/principal/financeira</t>
  </si>
  <si>
    <t>Tânia Michel Pereira/Unijuí</t>
  </si>
  <si>
    <t>tmichel@gmail.com</t>
  </si>
  <si>
    <t>Como calcular o valor da parcela manualmente? Veja abaixo</t>
  </si>
  <si>
    <t>Como calcular o valor financiado manualmente? Veja abaixo!</t>
  </si>
  <si>
    <t>Como calculara taxa para 2 parcelas, sem entrada,  manualmente? Veja abaixo!</t>
  </si>
  <si>
    <t xml:space="preserve">Para calcular o valor da taxa  para  mais parcelas acesse: </t>
  </si>
  <si>
    <t>http://www.projetos.unijui.edu.br/matematica/principal/financeira/planilha2.htm</t>
  </si>
  <si>
    <r>
      <t>n</t>
    </r>
    <r>
      <rPr>
        <b/>
        <sz val="12"/>
        <color indexed="8"/>
        <rFont val="Arial"/>
        <family val="2"/>
      </rPr>
      <t>=-ln[</t>
    </r>
    <r>
      <rPr>
        <b/>
        <sz val="12"/>
        <color indexed="60"/>
        <rFont val="Arial"/>
        <family val="2"/>
      </rPr>
      <t xml:space="preserve">P </t>
    </r>
    <r>
      <rPr>
        <b/>
        <sz val="12"/>
        <color indexed="8"/>
        <rFont val="Arial"/>
        <family val="2"/>
      </rPr>
      <t>/ (</t>
    </r>
    <r>
      <rPr>
        <b/>
        <sz val="12"/>
        <color indexed="60"/>
        <rFont val="Arial"/>
        <family val="2"/>
      </rPr>
      <t>P</t>
    </r>
    <r>
      <rPr>
        <b/>
        <sz val="12"/>
        <color indexed="8"/>
        <rFont val="Arial"/>
        <family val="2"/>
      </rPr>
      <t>-</t>
    </r>
    <r>
      <rPr>
        <b/>
        <sz val="12"/>
        <color indexed="14"/>
        <rFont val="Arial"/>
        <family val="2"/>
      </rPr>
      <t>Va</t>
    </r>
    <r>
      <rPr>
        <b/>
        <sz val="8"/>
        <color indexed="8"/>
        <rFont val="Arial"/>
        <family val="2"/>
      </rPr>
      <t>x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 ] / ln(1+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</t>
    </r>
  </si>
  <si>
    <t>-ln[</t>
  </si>
  <si>
    <t>-(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</si>
</sst>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_(* #,##0.000000_);_(* \(#,##0.000000\);_(* &quot;-&quot;??_);_(@_)"/>
  </numFmts>
  <fonts count="118">
    <font>
      <sz val="12"/>
      <name val="Times New Roman"/>
    </font>
    <font>
      <sz val="12"/>
      <name val="Times New Roman"/>
      <family val="1"/>
    </font>
    <font>
      <b/>
      <sz val="16"/>
      <color indexed="16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47"/>
      <name val="Arial"/>
      <family val="2"/>
    </font>
    <font>
      <b/>
      <sz val="14"/>
      <color indexed="22"/>
      <name val="Arial"/>
      <family val="2"/>
    </font>
    <font>
      <b/>
      <sz val="14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indexed="4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9"/>
      <color indexed="23"/>
      <name val="Arial"/>
      <family val="2"/>
    </font>
    <font>
      <b/>
      <sz val="12"/>
      <name val="Times New Roman"/>
      <family val="1"/>
    </font>
    <font>
      <b/>
      <sz val="10"/>
      <color indexed="23"/>
      <name val="Arial"/>
      <family val="2"/>
    </font>
    <font>
      <sz val="12"/>
      <color indexed="55"/>
      <name val="Times New Roman"/>
      <family val="1"/>
    </font>
    <font>
      <b/>
      <sz val="9"/>
      <color indexed="55"/>
      <name val="Arial"/>
      <family val="2"/>
    </font>
    <font>
      <b/>
      <sz val="14"/>
      <color indexed="55"/>
      <name val="Times New Roman"/>
      <family val="1"/>
    </font>
    <font>
      <b/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b/>
      <sz val="12"/>
      <color indexed="45"/>
      <name val="Arial"/>
      <family val="2"/>
    </font>
    <font>
      <sz val="12"/>
      <color indexed="21"/>
      <name val="Times New Roman"/>
      <family val="1"/>
    </font>
    <font>
      <sz val="12"/>
      <color indexed="12"/>
      <name val="Times New Roman"/>
      <family val="1"/>
    </font>
    <font>
      <b/>
      <sz val="14"/>
      <color indexed="45"/>
      <name val="Arial"/>
      <family val="2"/>
    </font>
    <font>
      <u/>
      <sz val="12"/>
      <color indexed="12"/>
      <name val="Times New Roman"/>
      <family val="1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4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4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12"/>
      <color indexed="6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8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9"/>
      <name val="Arial"/>
      <family val="2"/>
    </font>
    <font>
      <b/>
      <sz val="9"/>
      <color indexed="53"/>
      <name val="Arial"/>
      <family val="2"/>
    </font>
    <font>
      <b/>
      <sz val="9"/>
      <color indexed="45"/>
      <name val="Arial"/>
      <family val="2"/>
    </font>
    <font>
      <sz val="10"/>
      <color indexed="55"/>
      <name val="Times New Roman"/>
      <family val="1"/>
    </font>
    <font>
      <b/>
      <sz val="12"/>
      <color indexed="14"/>
      <name val="Arial"/>
      <family val="2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1"/>
      <name val="Arial"/>
      <family val="2"/>
    </font>
    <font>
      <b/>
      <sz val="14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22"/>
      <name val="Arial"/>
      <family val="2"/>
    </font>
    <font>
      <b/>
      <sz val="10"/>
      <name val="Times New Roman"/>
      <family val="1"/>
    </font>
    <font>
      <b/>
      <sz val="12"/>
      <color indexed="19"/>
      <name val="Arial"/>
      <family val="2"/>
    </font>
    <font>
      <b/>
      <sz val="14"/>
      <color indexed="14"/>
      <name val="Arial"/>
      <family val="2"/>
    </font>
    <font>
      <sz val="12"/>
      <color indexed="47"/>
      <name val="Times New Roman"/>
      <family val="1"/>
    </font>
    <font>
      <b/>
      <sz val="10"/>
      <color indexed="47"/>
      <name val="Arial"/>
      <family val="2"/>
    </font>
    <font>
      <b/>
      <sz val="14"/>
      <color indexed="14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2"/>
      <name val="Arial"/>
      <family val="2"/>
    </font>
    <font>
      <b/>
      <sz val="14"/>
      <color indexed="2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45"/>
      <name val="Arial"/>
      <family val="2"/>
    </font>
    <font>
      <b/>
      <sz val="11"/>
      <color indexed="57"/>
      <name val="Arial"/>
      <family val="2"/>
    </font>
    <font>
      <b/>
      <sz val="11"/>
      <color indexed="47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1"/>
      <color indexed="14"/>
      <name val="Arial"/>
      <family val="2"/>
    </font>
    <font>
      <b/>
      <sz val="9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vertAlign val="superscript"/>
      <sz val="14"/>
      <color indexed="55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theme="0" tint="-4.9989318521683403E-2"/>
      <name val="Arial"/>
      <family val="2"/>
    </font>
    <font>
      <sz val="12"/>
      <color theme="0"/>
      <name val="Times New Roman"/>
      <family val="1"/>
    </font>
    <font>
      <sz val="18"/>
      <color theme="0"/>
      <name val="Times New Roman"/>
      <family val="1"/>
    </font>
    <font>
      <sz val="20"/>
      <color theme="0"/>
      <name val="Times New Roman"/>
      <family val="1"/>
    </font>
    <font>
      <sz val="20"/>
      <name val="Times New Roman"/>
      <family val="1"/>
    </font>
    <font>
      <u/>
      <sz val="12"/>
      <color indexed="12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0"/>
      <name val="Times New Roman"/>
      <family val="1"/>
    </font>
    <font>
      <u/>
      <sz val="2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8">
    <xf numFmtId="0" fontId="0" fillId="0" borderId="0" xfId="0"/>
    <xf numFmtId="0" fontId="77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7" fillId="2" borderId="5" xfId="0" applyFont="1" applyFill="1" applyBorder="1" applyProtection="1">
      <protection locked="0"/>
    </xf>
    <xf numFmtId="0" fontId="28" fillId="2" borderId="6" xfId="0" quotePrefix="1" applyFont="1" applyFill="1" applyBorder="1" applyAlignment="1" applyProtection="1">
      <alignment horizontal="left"/>
      <protection locked="0"/>
    </xf>
    <xf numFmtId="0" fontId="28" fillId="2" borderId="13" xfId="0" quotePrefix="1" applyFont="1" applyFill="1" applyBorder="1" applyAlignment="1" applyProtection="1">
      <alignment horizontal="left"/>
      <protection locked="0"/>
    </xf>
    <xf numFmtId="0" fontId="19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17" fillId="2" borderId="0" xfId="0" applyFont="1" applyFill="1" applyProtection="1">
      <protection locked="0"/>
    </xf>
    <xf numFmtId="0" fontId="17" fillId="2" borderId="0" xfId="0" applyFont="1" applyFill="1" applyBorder="1" applyProtection="1">
      <protection locked="0"/>
    </xf>
    <xf numFmtId="0" fontId="29" fillId="2" borderId="7" xfId="0" applyFont="1" applyFill="1" applyBorder="1" applyProtection="1">
      <protection locked="0"/>
    </xf>
    <xf numFmtId="0" fontId="30" fillId="2" borderId="8" xfId="0" applyFont="1" applyFill="1" applyBorder="1" applyProtection="1">
      <protection locked="0"/>
    </xf>
    <xf numFmtId="0" fontId="31" fillId="2" borderId="9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 applyProtection="1">
      <protection locked="0"/>
    </xf>
    <xf numFmtId="0" fontId="18" fillId="2" borderId="1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165" fontId="94" fillId="2" borderId="17" xfId="2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Protection="1">
      <protection locked="0"/>
    </xf>
    <xf numFmtId="0" fontId="40" fillId="2" borderId="0" xfId="0" applyFont="1" applyFill="1" applyBorder="1" applyProtection="1">
      <protection locked="0"/>
    </xf>
    <xf numFmtId="165" fontId="95" fillId="2" borderId="17" xfId="2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23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96" fillId="2" borderId="17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right"/>
      <protection locked="0"/>
    </xf>
    <xf numFmtId="0" fontId="97" fillId="2" borderId="0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98" fillId="2" borderId="17" xfId="0" applyFont="1" applyFill="1" applyBorder="1" applyAlignment="1" applyProtection="1">
      <alignment horizontal="right"/>
      <protection locked="0"/>
    </xf>
    <xf numFmtId="0" fontId="36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18" fillId="2" borderId="2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165" fontId="99" fillId="2" borderId="18" xfId="2" applyFont="1" applyFill="1" applyBorder="1" applyAlignment="1" applyProtection="1">
      <alignment horizontal="right"/>
      <protection locked="0"/>
    </xf>
    <xf numFmtId="0" fontId="18" fillId="2" borderId="11" xfId="0" applyFont="1" applyFill="1" applyBorder="1" applyProtection="1">
      <protection locked="0"/>
    </xf>
    <xf numFmtId="0" fontId="31" fillId="2" borderId="6" xfId="0" applyFont="1" applyFill="1" applyBorder="1" applyProtection="1">
      <protection locked="0"/>
    </xf>
    <xf numFmtId="0" fontId="22" fillId="2" borderId="6" xfId="0" quotePrefix="1" applyFont="1" applyFill="1" applyBorder="1" applyAlignment="1" applyProtection="1">
      <alignment horizontal="right"/>
      <protection locked="0"/>
    </xf>
    <xf numFmtId="0" fontId="28" fillId="2" borderId="13" xfId="0" quotePrefix="1" applyFont="1" applyFill="1" applyBorder="1" applyAlignment="1" applyProtection="1">
      <alignment horizontal="center"/>
      <protection locked="0"/>
    </xf>
    <xf numFmtId="0" fontId="28" fillId="2" borderId="0" xfId="0" quotePrefix="1" applyFont="1" applyFill="1" applyBorder="1" applyAlignment="1" applyProtection="1">
      <alignment horizontal="center"/>
      <protection locked="0"/>
    </xf>
    <xf numFmtId="0" fontId="45" fillId="2" borderId="5" xfId="0" applyFont="1" applyFill="1" applyBorder="1" applyProtection="1">
      <protection locked="0"/>
    </xf>
    <xf numFmtId="0" fontId="28" fillId="2" borderId="6" xfId="0" applyFont="1" applyFill="1" applyBorder="1" applyProtection="1">
      <protection locked="0"/>
    </xf>
    <xf numFmtId="165" fontId="28" fillId="2" borderId="6" xfId="2" applyFont="1" applyFill="1" applyBorder="1" applyAlignment="1" applyProtection="1">
      <alignment horizontal="right"/>
      <protection locked="0"/>
    </xf>
    <xf numFmtId="0" fontId="28" fillId="2" borderId="6" xfId="0" quotePrefix="1" applyFont="1" applyFill="1" applyBorder="1" applyProtection="1">
      <protection locked="0"/>
    </xf>
    <xf numFmtId="0" fontId="45" fillId="2" borderId="13" xfId="0" quotePrefix="1" applyFont="1" applyFill="1" applyBorder="1" applyAlignment="1" applyProtection="1">
      <alignment horizontal="left"/>
      <protection locked="0"/>
    </xf>
    <xf numFmtId="0" fontId="28" fillId="2" borderId="8" xfId="0" applyFont="1" applyFill="1" applyBorder="1" applyProtection="1">
      <protection locked="0"/>
    </xf>
    <xf numFmtId="0" fontId="28" fillId="2" borderId="9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0" fontId="46" fillId="2" borderId="15" xfId="0" applyFont="1" applyFill="1" applyBorder="1" applyProtection="1">
      <protection locked="0"/>
    </xf>
    <xf numFmtId="165" fontId="28" fillId="2" borderId="0" xfId="2" applyFont="1" applyFill="1" applyBorder="1" applyAlignment="1" applyProtection="1">
      <alignment horizontal="right"/>
      <protection locked="0"/>
    </xf>
    <xf numFmtId="0" fontId="28" fillId="2" borderId="0" xfId="0" quotePrefix="1" applyFont="1" applyFill="1" applyBorder="1" applyProtection="1">
      <protection locked="0"/>
    </xf>
    <xf numFmtId="0" fontId="46" fillId="2" borderId="16" xfId="0" applyFont="1" applyFill="1" applyBorder="1" applyAlignment="1" applyProtection="1">
      <alignment horizontal="left"/>
      <protection locked="0"/>
    </xf>
    <xf numFmtId="0" fontId="48" fillId="2" borderId="6" xfId="0" quotePrefix="1" applyFont="1" applyFill="1" applyBorder="1" applyAlignment="1" applyProtection="1">
      <alignment horizontal="right"/>
      <protection locked="0"/>
    </xf>
    <xf numFmtId="0" fontId="43" fillId="2" borderId="15" xfId="0" applyFont="1" applyFill="1" applyBorder="1" applyProtection="1">
      <protection locked="0"/>
    </xf>
    <xf numFmtId="0" fontId="47" fillId="2" borderId="16" xfId="0" quotePrefix="1" applyFont="1" applyFill="1" applyBorder="1" applyAlignment="1" applyProtection="1">
      <alignment horizontal="left"/>
      <protection locked="0"/>
    </xf>
    <xf numFmtId="0" fontId="48" fillId="2" borderId="7" xfId="0" applyFont="1" applyFill="1" applyBorder="1" applyProtection="1">
      <protection locked="0"/>
    </xf>
    <xf numFmtId="0" fontId="28" fillId="2" borderId="8" xfId="0" quotePrefix="1" applyFont="1" applyFill="1" applyBorder="1" applyProtection="1">
      <protection locked="0"/>
    </xf>
    <xf numFmtId="0" fontId="48" fillId="2" borderId="9" xfId="0" quotePrefix="1" applyFont="1" applyFill="1" applyBorder="1" applyAlignment="1" applyProtection="1">
      <alignment horizontal="left"/>
      <protection locked="0"/>
    </xf>
    <xf numFmtId="0" fontId="78" fillId="2" borderId="0" xfId="0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0" fontId="44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6" fillId="2" borderId="2" xfId="0" applyFont="1" applyFill="1" applyBorder="1" applyProtection="1">
      <protection locked="0"/>
    </xf>
    <xf numFmtId="1" fontId="54" fillId="2" borderId="0" xfId="0" applyNumberFormat="1" applyFont="1" applyFill="1" applyBorder="1" applyProtection="1">
      <protection locked="0"/>
    </xf>
    <xf numFmtId="0" fontId="56" fillId="2" borderId="0" xfId="0" applyFont="1" applyFill="1" applyBorder="1" applyProtection="1">
      <protection locked="0"/>
    </xf>
    <xf numFmtId="0" fontId="43" fillId="2" borderId="0" xfId="0" applyFont="1" applyFill="1" applyBorder="1" applyProtection="1">
      <protection locked="0"/>
    </xf>
    <xf numFmtId="0" fontId="39" fillId="2" borderId="0" xfId="0" applyFont="1" applyFill="1" applyBorder="1" applyProtection="1">
      <protection locked="0"/>
    </xf>
    <xf numFmtId="0" fontId="43" fillId="2" borderId="0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left"/>
      <protection locked="0"/>
    </xf>
    <xf numFmtId="167" fontId="57" fillId="2" borderId="0" xfId="0" applyNumberFormat="1" applyFont="1" applyFill="1" applyBorder="1" applyProtection="1">
      <protection locked="0"/>
    </xf>
    <xf numFmtId="0" fontId="8" fillId="2" borderId="0" xfId="0" quotePrefix="1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6" fontId="55" fillId="2" borderId="0" xfId="0" applyNumberFormat="1" applyFont="1" applyFill="1" applyBorder="1" applyProtection="1">
      <protection locked="0"/>
    </xf>
    <xf numFmtId="2" fontId="44" fillId="2" borderId="0" xfId="0" applyNumberFormat="1" applyFont="1" applyFill="1" applyBorder="1" applyProtection="1">
      <protection locked="0"/>
    </xf>
    <xf numFmtId="0" fontId="22" fillId="2" borderId="0" xfId="0" quotePrefix="1" applyFont="1" applyFill="1" applyBorder="1" applyProtection="1">
      <protection locked="0"/>
    </xf>
    <xf numFmtId="0" fontId="26" fillId="2" borderId="6" xfId="0" applyFont="1" applyFill="1" applyBorder="1" applyProtection="1">
      <protection locked="0"/>
    </xf>
    <xf numFmtId="0" fontId="26" fillId="2" borderId="13" xfId="0" applyFont="1" applyFill="1" applyBorder="1" applyProtection="1">
      <protection locked="0"/>
    </xf>
    <xf numFmtId="0" fontId="77" fillId="2" borderId="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18" fillId="2" borderId="12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5" fontId="72" fillId="2" borderId="0" xfId="2" applyFont="1" applyFill="1" applyBorder="1" applyAlignment="1" applyProtection="1">
      <alignment horizontal="right"/>
      <protection locked="0"/>
    </xf>
    <xf numFmtId="0" fontId="100" fillId="2" borderId="17" xfId="0" applyFont="1" applyFill="1" applyBorder="1" applyAlignment="1" applyProtection="1">
      <alignment horizontal="right"/>
      <protection locked="0"/>
    </xf>
    <xf numFmtId="165" fontId="99" fillId="2" borderId="17" xfId="0" applyNumberFormat="1" applyFont="1" applyFill="1" applyBorder="1" applyAlignment="1" applyProtection="1">
      <alignment horizontal="right"/>
      <protection locked="0"/>
    </xf>
    <xf numFmtId="0" fontId="44" fillId="2" borderId="0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165" fontId="99" fillId="2" borderId="17" xfId="2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31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" fontId="46" fillId="2" borderId="16" xfId="0" quotePrefix="1" applyNumberFormat="1" applyFont="1" applyFill="1" applyBorder="1" applyAlignment="1" applyProtection="1">
      <alignment horizontal="left"/>
      <protection locked="0"/>
    </xf>
    <xf numFmtId="0" fontId="18" fillId="2" borderId="16" xfId="0" applyFont="1" applyFill="1" applyBorder="1" applyProtection="1">
      <protection locked="0"/>
    </xf>
    <xf numFmtId="0" fontId="47" fillId="2" borderId="0" xfId="0" quotePrefix="1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48" fillId="2" borderId="9" xfId="0" applyFont="1" applyFill="1" applyBorder="1" applyAlignment="1" applyProtection="1">
      <alignment horizontal="left"/>
      <protection locked="0"/>
    </xf>
    <xf numFmtId="0" fontId="48" fillId="2" borderId="0" xfId="0" quotePrefix="1" applyFont="1" applyFill="1" applyBorder="1" applyAlignment="1" applyProtection="1">
      <alignment horizontal="left"/>
      <protection locked="0"/>
    </xf>
    <xf numFmtId="0" fontId="27" fillId="2" borderId="15" xfId="0" applyFont="1" applyFill="1" applyBorder="1" applyProtection="1">
      <protection locked="0"/>
    </xf>
    <xf numFmtId="0" fontId="48" fillId="2" borderId="0" xfId="0" applyFont="1" applyFill="1" applyBorder="1" applyProtection="1">
      <protection locked="0"/>
    </xf>
    <xf numFmtId="0" fontId="65" fillId="2" borderId="0" xfId="0" applyFont="1" applyFill="1" applyBorder="1" applyAlignment="1" applyProtection="1">
      <alignment horizontal="right"/>
      <protection locked="0"/>
    </xf>
    <xf numFmtId="2" fontId="9" fillId="2" borderId="0" xfId="0" quotePrefix="1" applyNumberFormat="1" applyFont="1" applyFill="1" applyBorder="1" applyAlignment="1" applyProtection="1">
      <alignment horizontal="right"/>
      <protection locked="0"/>
    </xf>
    <xf numFmtId="0" fontId="64" fillId="2" borderId="0" xfId="0" quotePrefix="1" applyFont="1" applyFill="1" applyBorder="1" applyAlignment="1" applyProtection="1">
      <alignment horizontal="center"/>
      <protection locked="0"/>
    </xf>
    <xf numFmtId="2" fontId="62" fillId="2" borderId="8" xfId="0" quotePrefix="1" applyNumberFormat="1" applyFont="1" applyFill="1" applyBorder="1" applyAlignment="1" applyProtection="1">
      <alignment horizontal="center"/>
      <protection locked="0"/>
    </xf>
    <xf numFmtId="0" fontId="39" fillId="2" borderId="8" xfId="0" applyFont="1" applyFill="1" applyBorder="1" applyProtection="1">
      <protection locked="0"/>
    </xf>
    <xf numFmtId="0" fontId="42" fillId="2" borderId="8" xfId="0" quotePrefix="1" applyFont="1" applyFill="1" applyBorder="1" applyAlignment="1" applyProtection="1">
      <alignment horizontal="left"/>
      <protection locked="0"/>
    </xf>
    <xf numFmtId="0" fontId="72" fillId="2" borderId="0" xfId="0" applyFont="1" applyFill="1" applyBorder="1" applyAlignment="1" applyProtection="1">
      <alignment horizontal="left"/>
      <protection locked="0"/>
    </xf>
    <xf numFmtId="0" fontId="63" fillId="2" borderId="0" xfId="0" applyFont="1" applyFill="1" applyProtection="1">
      <protection locked="0"/>
    </xf>
    <xf numFmtId="2" fontId="9" fillId="2" borderId="8" xfId="0" quotePrefix="1" applyNumberFormat="1" applyFont="1" applyFill="1" applyBorder="1" applyAlignment="1" applyProtection="1">
      <alignment horizontal="right"/>
      <protection locked="0"/>
    </xf>
    <xf numFmtId="0" fontId="64" fillId="2" borderId="8" xfId="0" quotePrefix="1" applyFont="1" applyFill="1" applyBorder="1" applyAlignment="1" applyProtection="1">
      <alignment horizontal="center"/>
      <protection locked="0"/>
    </xf>
    <xf numFmtId="0" fontId="67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8" fontId="51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8" fillId="2" borderId="8" xfId="0" quotePrefix="1" applyFont="1" applyFill="1" applyBorder="1" applyProtection="1">
      <protection locked="0"/>
    </xf>
    <xf numFmtId="2" fontId="68" fillId="2" borderId="8" xfId="0" quotePrefix="1" applyNumberFormat="1" applyFont="1" applyFill="1" applyBorder="1" applyAlignment="1" applyProtection="1">
      <alignment horizontal="right"/>
      <protection locked="0"/>
    </xf>
    <xf numFmtId="0" fontId="8" fillId="2" borderId="0" xfId="0" quotePrefix="1" applyFont="1" applyFill="1" applyBorder="1" applyAlignment="1" applyProtection="1">
      <alignment horizontal="center"/>
      <protection locked="0"/>
    </xf>
    <xf numFmtId="0" fontId="51" fillId="2" borderId="0" xfId="0" applyFont="1" applyFill="1" applyBorder="1" applyAlignment="1" applyProtection="1">
      <alignment horizontal="center"/>
      <protection locked="0"/>
    </xf>
    <xf numFmtId="0" fontId="70" fillId="2" borderId="0" xfId="0" applyFont="1" applyFill="1" applyBorder="1" applyProtection="1">
      <protection locked="0"/>
    </xf>
    <xf numFmtId="0" fontId="8" fillId="2" borderId="0" xfId="0" quotePrefix="1" applyFont="1" applyFill="1" applyBorder="1" applyAlignment="1" applyProtection="1">
      <alignment horizontal="left"/>
      <protection locked="0"/>
    </xf>
    <xf numFmtId="165" fontId="11" fillId="2" borderId="0" xfId="2" applyFont="1" applyFill="1" applyBorder="1" applyAlignment="1" applyProtection="1">
      <alignment horizontal="right"/>
      <protection locked="0"/>
    </xf>
    <xf numFmtId="0" fontId="7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30" fillId="2" borderId="9" xfId="0" applyFont="1" applyFill="1" applyBorder="1" applyProtection="1">
      <protection locked="0"/>
    </xf>
    <xf numFmtId="0" fontId="76" fillId="2" borderId="3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165" fontId="101" fillId="2" borderId="17" xfId="2" applyFont="1" applyFill="1" applyBorder="1" applyAlignment="1" applyProtection="1">
      <alignment horizontal="right"/>
      <protection locked="0"/>
    </xf>
    <xf numFmtId="0" fontId="69" fillId="2" borderId="0" xfId="0" applyFont="1" applyFill="1" applyBorder="1" applyProtection="1">
      <protection locked="0"/>
    </xf>
    <xf numFmtId="0" fontId="98" fillId="2" borderId="17" xfId="0" applyFont="1" applyFill="1" applyBorder="1" applyProtection="1">
      <protection locked="0"/>
    </xf>
    <xf numFmtId="165" fontId="102" fillId="2" borderId="17" xfId="0" applyNumberFormat="1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Protection="1">
      <protection locked="0"/>
    </xf>
    <xf numFmtId="165" fontId="94" fillId="2" borderId="19" xfId="0" applyNumberFormat="1" applyFont="1" applyFill="1" applyBorder="1" applyAlignment="1" applyProtection="1">
      <alignment horizontal="right"/>
      <protection locked="0"/>
    </xf>
    <xf numFmtId="0" fontId="27" fillId="2" borderId="0" xfId="0" applyFont="1" applyFill="1" applyBorder="1" applyProtection="1">
      <protection locked="0"/>
    </xf>
    <xf numFmtId="0" fontId="26" fillId="2" borderId="0" xfId="0" quotePrefix="1" applyFont="1" applyFill="1" applyBorder="1" applyAlignment="1" applyProtection="1">
      <alignment horizontal="right"/>
      <protection locked="0"/>
    </xf>
    <xf numFmtId="0" fontId="73" fillId="2" borderId="0" xfId="0" applyFont="1" applyFill="1" applyBorder="1" applyProtection="1">
      <protection locked="0"/>
    </xf>
    <xf numFmtId="1" fontId="45" fillId="2" borderId="13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29" fillId="2" borderId="8" xfId="0" applyFont="1" applyFill="1" applyBorder="1" applyProtection="1">
      <protection locked="0"/>
    </xf>
    <xf numFmtId="0" fontId="73" fillId="2" borderId="8" xfId="0" applyFont="1" applyFill="1" applyBorder="1" applyProtection="1">
      <protection locked="0"/>
    </xf>
    <xf numFmtId="0" fontId="48" fillId="2" borderId="9" xfId="0" applyFont="1" applyFill="1" applyBorder="1" applyAlignment="1" applyProtection="1">
      <alignment horizontal="right"/>
      <protection locked="0"/>
    </xf>
    <xf numFmtId="0" fontId="74" fillId="2" borderId="0" xfId="0" applyFont="1" applyFill="1" applyAlignment="1" applyProtection="1">
      <alignment horizontal="left"/>
      <protection locked="0"/>
    </xf>
    <xf numFmtId="0" fontId="62" fillId="2" borderId="0" xfId="0" applyFont="1" applyFill="1" applyBorder="1" applyAlignment="1" applyProtection="1">
      <alignment horizontal="right"/>
      <protection locked="0"/>
    </xf>
    <xf numFmtId="1" fontId="9" fillId="2" borderId="0" xfId="0" quotePrefix="1" applyNumberFormat="1" applyFont="1" applyFill="1" applyBorder="1" applyAlignment="1" applyProtection="1">
      <alignment horizontal="right"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0" fontId="42" fillId="2" borderId="0" xfId="0" applyFont="1" applyFill="1" applyBorder="1" applyAlignment="1" applyProtection="1">
      <alignment horizontal="left"/>
      <protection locked="0"/>
    </xf>
    <xf numFmtId="169" fontId="5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75" fillId="2" borderId="0" xfId="0" applyFont="1" applyFill="1" applyBorder="1" applyAlignment="1" applyProtection="1">
      <alignment horizontal="center"/>
      <protection locked="0"/>
    </xf>
    <xf numFmtId="0" fontId="54" fillId="2" borderId="0" xfId="0" applyFont="1" applyFill="1" applyBorder="1" applyAlignment="1" applyProtection="1">
      <alignment horizontal="left"/>
      <protection locked="0"/>
    </xf>
    <xf numFmtId="1" fontId="62" fillId="2" borderId="0" xfId="0" applyNumberFormat="1" applyFont="1" applyFill="1" applyBorder="1" applyAlignment="1" applyProtection="1">
      <alignment horizontal="left"/>
      <protection locked="0"/>
    </xf>
    <xf numFmtId="1" fontId="34" fillId="2" borderId="0" xfId="0" applyNumberFormat="1" applyFont="1" applyFill="1" applyBorder="1" applyAlignment="1" applyProtection="1">
      <alignment horizontal="left"/>
      <protection locked="0"/>
    </xf>
    <xf numFmtId="1" fontId="20" fillId="2" borderId="0" xfId="0" applyNumberFormat="1" applyFont="1" applyFill="1" applyBorder="1" applyAlignment="1" applyProtection="1">
      <alignment horizontal="center"/>
      <protection locked="0"/>
    </xf>
    <xf numFmtId="2" fontId="33" fillId="2" borderId="0" xfId="0" applyNumberFormat="1" applyFont="1" applyFill="1" applyBorder="1" applyProtection="1">
      <protection locked="0"/>
    </xf>
    <xf numFmtId="0" fontId="28" fillId="2" borderId="0" xfId="0" quotePrefix="1" applyFont="1" applyFill="1" applyBorder="1" applyAlignment="1" applyProtection="1">
      <alignment horizontal="left"/>
      <protection locked="0"/>
    </xf>
    <xf numFmtId="0" fontId="69" fillId="2" borderId="1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Protection="1">
      <protection locked="0"/>
    </xf>
    <xf numFmtId="165" fontId="94" fillId="2" borderId="20" xfId="2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protection locked="0"/>
    </xf>
    <xf numFmtId="165" fontId="102" fillId="2" borderId="17" xfId="2" applyFont="1" applyFill="1" applyBorder="1" applyAlignment="1" applyProtection="1">
      <alignment horizontal="right"/>
      <protection locked="0"/>
    </xf>
    <xf numFmtId="0" fontId="41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8" fillId="2" borderId="0" xfId="0" applyFont="1" applyFill="1" applyBorder="1" applyProtection="1">
      <protection locked="0"/>
    </xf>
    <xf numFmtId="170" fontId="100" fillId="2" borderId="21" xfId="0" applyNumberFormat="1" applyFont="1" applyFill="1" applyBorder="1" applyAlignment="1" applyProtection="1">
      <alignment horizontal="right"/>
      <protection locked="0"/>
    </xf>
    <xf numFmtId="0" fontId="13" fillId="2" borderId="4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26" fillId="2" borderId="16" xfId="0" quotePrefix="1" applyFont="1" applyFill="1" applyBorder="1" applyAlignment="1" applyProtection="1">
      <alignment horizontal="right"/>
      <protection locked="0"/>
    </xf>
    <xf numFmtId="0" fontId="45" fillId="2" borderId="15" xfId="0" applyFont="1" applyFill="1" applyBorder="1" applyProtection="1">
      <protection locked="0"/>
    </xf>
    <xf numFmtId="2" fontId="45" fillId="2" borderId="13" xfId="0" quotePrefix="1" applyNumberFormat="1" applyFont="1" applyFill="1" applyBorder="1" applyAlignment="1" applyProtection="1">
      <alignment horizontal="left"/>
      <protection locked="0"/>
    </xf>
    <xf numFmtId="2" fontId="46" fillId="2" borderId="16" xfId="0" quotePrefix="1" applyNumberFormat="1" applyFont="1" applyFill="1" applyBorder="1" applyAlignment="1" applyProtection="1">
      <alignment horizontal="left"/>
      <protection locked="0"/>
    </xf>
    <xf numFmtId="0" fontId="27" fillId="2" borderId="6" xfId="0" applyFont="1" applyFill="1" applyBorder="1" applyProtection="1">
      <protection locked="0"/>
    </xf>
    <xf numFmtId="0" fontId="26" fillId="2" borderId="13" xfId="0" quotePrefix="1" applyFont="1" applyFill="1" applyBorder="1" applyAlignment="1" applyProtection="1">
      <alignment horizontal="right"/>
      <protection locked="0"/>
    </xf>
    <xf numFmtId="0" fontId="42" fillId="2" borderId="16" xfId="0" applyFont="1" applyFill="1" applyBorder="1" applyAlignment="1" applyProtection="1">
      <alignment horizontal="left"/>
      <protection locked="0"/>
    </xf>
    <xf numFmtId="0" fontId="86" fillId="2" borderId="0" xfId="0" applyFont="1" applyFill="1" applyAlignment="1" applyProtection="1">
      <alignment horizontal="left"/>
      <protection locked="0"/>
    </xf>
    <xf numFmtId="2" fontId="45" fillId="2" borderId="0" xfId="0" quotePrefix="1" applyNumberFormat="1" applyFont="1" applyFill="1" applyBorder="1" applyAlignment="1" applyProtection="1">
      <alignment horizontal="right"/>
      <protection locked="0"/>
    </xf>
    <xf numFmtId="0" fontId="84" fillId="2" borderId="0" xfId="0" quotePrefix="1" applyFont="1" applyFill="1" applyBorder="1" applyAlignment="1" applyProtection="1">
      <alignment horizontal="center"/>
      <protection locked="0"/>
    </xf>
    <xf numFmtId="2" fontId="46" fillId="2" borderId="0" xfId="0" quotePrefix="1" applyNumberFormat="1" applyFont="1" applyFill="1" applyBorder="1" applyAlignment="1" applyProtection="1">
      <alignment horizontal="left"/>
      <protection locked="0"/>
    </xf>
    <xf numFmtId="0" fontId="0" fillId="2" borderId="0" xfId="0" quotePrefix="1" applyFill="1" applyBorder="1" applyProtection="1">
      <protection locked="0"/>
    </xf>
    <xf numFmtId="0" fontId="25" fillId="2" borderId="0" xfId="0" applyFont="1" applyFill="1" applyAlignment="1" applyProtection="1">
      <alignment horizontal="left"/>
      <protection locked="0"/>
    </xf>
    <xf numFmtId="0" fontId="81" fillId="2" borderId="0" xfId="0" applyFont="1" applyFill="1" applyAlignment="1" applyProtection="1">
      <alignment horizontal="left"/>
      <protection locked="0"/>
    </xf>
    <xf numFmtId="0" fontId="88" fillId="2" borderId="0" xfId="0" applyFont="1" applyFill="1" applyProtection="1">
      <protection locked="0"/>
    </xf>
    <xf numFmtId="0" fontId="0" fillId="2" borderId="0" xfId="0" applyFill="1"/>
    <xf numFmtId="0" fontId="87" fillId="2" borderId="0" xfId="0" applyFont="1" applyFill="1" applyProtection="1">
      <protection locked="0"/>
    </xf>
    <xf numFmtId="166" fontId="67" fillId="2" borderId="0" xfId="0" applyNumberFormat="1" applyFont="1" applyFill="1" applyProtection="1">
      <protection locked="0"/>
    </xf>
    <xf numFmtId="0" fontId="104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Protection="1">
      <protection locked="0"/>
    </xf>
    <xf numFmtId="0" fontId="103" fillId="2" borderId="0" xfId="0" applyFont="1" applyFill="1" applyAlignment="1" applyProtection="1">
      <alignment horizontal="right"/>
      <protection locked="0"/>
    </xf>
    <xf numFmtId="0" fontId="88" fillId="2" borderId="0" xfId="0" applyFont="1" applyFill="1" applyAlignment="1" applyProtection="1">
      <alignment horizontal="center"/>
      <protection locked="0"/>
    </xf>
    <xf numFmtId="166" fontId="52" fillId="2" borderId="0" xfId="0" applyNumberFormat="1" applyFont="1" applyFill="1" applyProtection="1">
      <protection locked="0"/>
    </xf>
    <xf numFmtId="166" fontId="66" fillId="2" borderId="0" xfId="0" applyNumberFormat="1" applyFont="1" applyFill="1" applyProtection="1">
      <protection locked="0"/>
    </xf>
    <xf numFmtId="0" fontId="74" fillId="2" borderId="0" xfId="0" applyFont="1" applyFill="1" applyAlignment="1" applyProtection="1">
      <alignment horizontal="center"/>
      <protection locked="0"/>
    </xf>
    <xf numFmtId="0" fontId="74" fillId="2" borderId="0" xfId="0" applyFont="1" applyFill="1" applyAlignment="1" applyProtection="1">
      <alignment horizontal="right"/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52" fillId="2" borderId="0" xfId="0" applyFont="1" applyFill="1" applyProtection="1">
      <protection locked="0"/>
    </xf>
    <xf numFmtId="0" fontId="10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89" fillId="2" borderId="0" xfId="0" applyFont="1" applyFill="1" applyProtection="1">
      <protection locked="0"/>
    </xf>
    <xf numFmtId="0" fontId="90" fillId="2" borderId="0" xfId="0" applyFont="1" applyFill="1" applyAlignment="1" applyProtection="1">
      <alignment horizontal="right"/>
      <protection locked="0"/>
    </xf>
    <xf numFmtId="0" fontId="90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93" fillId="2" borderId="0" xfId="0" applyFont="1" applyFill="1" applyBorder="1" applyAlignment="1" applyProtection="1">
      <alignment horizontal="center"/>
      <protection locked="0"/>
    </xf>
    <xf numFmtId="0" fontId="92" fillId="2" borderId="0" xfId="0" applyFont="1" applyFill="1" applyProtection="1">
      <protection locked="0"/>
    </xf>
    <xf numFmtId="0" fontId="91" fillId="2" borderId="0" xfId="0" applyFont="1" applyFill="1" applyBorder="1" applyProtection="1">
      <protection locked="0"/>
    </xf>
    <xf numFmtId="0" fontId="39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9" fillId="3" borderId="0" xfId="0" applyFont="1" applyFill="1" applyBorder="1" applyProtection="1">
      <protection locked="0"/>
    </xf>
    <xf numFmtId="0" fontId="17" fillId="3" borderId="0" xfId="0" applyFont="1" applyFill="1" applyProtection="1">
      <protection locked="0"/>
    </xf>
    <xf numFmtId="0" fontId="28" fillId="2" borderId="16" xfId="0" quotePrefix="1" applyFont="1" applyFill="1" applyBorder="1" applyAlignment="1" applyProtection="1">
      <alignment horizontal="left"/>
      <protection locked="0"/>
    </xf>
    <xf numFmtId="0" fontId="78" fillId="3" borderId="0" xfId="0" applyFont="1" applyFill="1" applyBorder="1" applyProtection="1">
      <protection locked="0"/>
    </xf>
    <xf numFmtId="0" fontId="77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89" fillId="3" borderId="0" xfId="0" applyFont="1" applyFill="1" applyProtection="1">
      <protection locked="0"/>
    </xf>
    <xf numFmtId="0" fontId="92" fillId="3" borderId="0" xfId="0" applyFont="1" applyFill="1" applyProtection="1">
      <protection locked="0"/>
    </xf>
    <xf numFmtId="0" fontId="17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26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63" fillId="3" borderId="0" xfId="0" applyFont="1" applyFill="1" applyProtection="1">
      <protection locked="0"/>
    </xf>
    <xf numFmtId="0" fontId="33" fillId="3" borderId="0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18" fillId="3" borderId="0" xfId="0" applyFont="1" applyFill="1" applyBorder="1" applyProtection="1">
      <protection locked="0"/>
    </xf>
    <xf numFmtId="0" fontId="26" fillId="2" borderId="16" xfId="0" quotePrefix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65" fillId="3" borderId="0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0" xfId="0" quotePrefix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61" fillId="2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39" fillId="3" borderId="0" xfId="0" applyFont="1" applyFill="1" applyBorder="1" applyProtection="1">
      <protection locked="0"/>
    </xf>
    <xf numFmtId="0" fontId="8" fillId="3" borderId="0" xfId="0" quotePrefix="1" applyFont="1" applyFill="1" applyBorder="1" applyProtection="1">
      <protection locked="0"/>
    </xf>
    <xf numFmtId="0" fontId="29" fillId="2" borderId="15" xfId="0" applyFont="1" applyFill="1" applyBorder="1" applyProtection="1">
      <protection locked="0"/>
    </xf>
    <xf numFmtId="0" fontId="30" fillId="2" borderId="0" xfId="0" applyFont="1" applyFill="1" applyBorder="1" applyProtection="1">
      <protection locked="0"/>
    </xf>
    <xf numFmtId="0" fontId="31" fillId="2" borderId="16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12" fillId="2" borderId="14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18" fillId="2" borderId="22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6" fillId="2" borderId="0" xfId="0" applyFont="1" applyFill="1" applyBorder="1" applyAlignment="1" applyProtection="1">
      <alignment horizontal="right"/>
      <protection locked="0"/>
    </xf>
    <xf numFmtId="0" fontId="29" fillId="2" borderId="8" xfId="0" applyFont="1" applyFill="1" applyBorder="1" applyAlignment="1" applyProtection="1">
      <alignment vertical="top"/>
      <protection locked="0"/>
    </xf>
    <xf numFmtId="0" fontId="30" fillId="2" borderId="8" xfId="0" applyFont="1" applyFill="1" applyBorder="1" applyAlignment="1" applyProtection="1">
      <alignment vertical="top"/>
      <protection locked="0"/>
    </xf>
    <xf numFmtId="0" fontId="30" fillId="2" borderId="9" xfId="0" applyFont="1" applyFill="1" applyBorder="1" applyAlignment="1" applyProtection="1">
      <alignment vertical="top"/>
      <protection locked="0"/>
    </xf>
    <xf numFmtId="0" fontId="82" fillId="2" borderId="6" xfId="0" quotePrefix="1" applyFont="1" applyFill="1" applyBorder="1" applyAlignment="1" applyProtection="1">
      <alignment horizontal="right"/>
      <protection locked="0"/>
    </xf>
    <xf numFmtId="0" fontId="78" fillId="3" borderId="0" xfId="0" applyFont="1" applyFill="1" applyBorder="1" applyAlignment="1" applyProtection="1">
      <alignment vertical="top"/>
      <protection locked="0"/>
    </xf>
    <xf numFmtId="0" fontId="77" fillId="2" borderId="0" xfId="0" applyFont="1" applyFill="1" applyAlignment="1" applyProtection="1">
      <alignment vertical="top"/>
      <protection locked="0"/>
    </xf>
    <xf numFmtId="0" fontId="17" fillId="3" borderId="0" xfId="0" applyFont="1" applyFill="1" applyAlignment="1" applyProtection="1">
      <alignment vertical="top"/>
      <protection locked="0"/>
    </xf>
    <xf numFmtId="0" fontId="78" fillId="3" borderId="0" xfId="0" applyFont="1" applyFill="1" applyBorder="1" applyAlignment="1" applyProtection="1">
      <protection locked="0"/>
    </xf>
    <xf numFmtId="0" fontId="77" fillId="2" borderId="0" xfId="0" applyFont="1" applyFill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30" fillId="2" borderId="8" xfId="0" applyFont="1" applyFill="1" applyBorder="1" applyAlignment="1" applyProtection="1">
      <protection locked="0"/>
    </xf>
    <xf numFmtId="0" fontId="30" fillId="2" borderId="9" xfId="0" applyFont="1" applyFill="1" applyBorder="1" applyAlignment="1" applyProtection="1">
      <protection locked="0"/>
    </xf>
    <xf numFmtId="0" fontId="48" fillId="2" borderId="7" xfId="0" applyFont="1" applyFill="1" applyBorder="1" applyAlignment="1" applyProtection="1">
      <protection locked="0"/>
    </xf>
    <xf numFmtId="0" fontId="28" fillId="2" borderId="8" xfId="0" applyFont="1" applyFill="1" applyBorder="1" applyAlignment="1" applyProtection="1">
      <protection locked="0"/>
    </xf>
    <xf numFmtId="0" fontId="28" fillId="2" borderId="8" xfId="0" quotePrefix="1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17" fillId="3" borderId="0" xfId="0" applyFont="1" applyFill="1" applyAlignment="1" applyProtection="1">
      <protection locked="0"/>
    </xf>
    <xf numFmtId="0" fontId="29" fillId="2" borderId="8" xfId="0" applyFont="1" applyFill="1" applyBorder="1" applyAlignment="1" applyProtection="1">
      <protection locked="0"/>
    </xf>
    <xf numFmtId="0" fontId="73" fillId="2" borderId="0" xfId="0" applyFont="1" applyFill="1" applyBorder="1" applyAlignment="1" applyProtection="1">
      <alignment vertical="top"/>
      <protection locked="0"/>
    </xf>
    <xf numFmtId="0" fontId="62" fillId="2" borderId="0" xfId="0" applyFont="1" applyFill="1" applyBorder="1" applyAlignment="1" applyProtection="1">
      <alignment horizontal="right" vertical="top"/>
      <protection locked="0"/>
    </xf>
    <xf numFmtId="1" fontId="9" fillId="2" borderId="0" xfId="0" quotePrefix="1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42" fillId="2" borderId="0" xfId="0" applyFont="1" applyFill="1" applyBorder="1" applyAlignment="1" applyProtection="1">
      <alignment horizontal="center" vertical="top"/>
      <protection locked="0"/>
    </xf>
    <xf numFmtId="0" fontId="42" fillId="2" borderId="0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Alignment="1" applyProtection="1">
      <alignment vertical="top"/>
      <protection locked="0"/>
    </xf>
    <xf numFmtId="0" fontId="22" fillId="3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54" fillId="3" borderId="0" xfId="0" applyFont="1" applyFill="1" applyBorder="1" applyAlignment="1" applyProtection="1">
      <alignment horizontal="left"/>
      <protection locked="0"/>
    </xf>
    <xf numFmtId="1" fontId="9" fillId="3" borderId="0" xfId="0" quotePrefix="1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Protection="1">
      <protection locked="0"/>
    </xf>
    <xf numFmtId="1" fontId="62" fillId="3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1" fontId="34" fillId="3" borderId="0" xfId="0" applyNumberFormat="1" applyFont="1" applyFill="1" applyBorder="1" applyAlignment="1" applyProtection="1">
      <alignment horizontal="left"/>
      <protection locked="0"/>
    </xf>
    <xf numFmtId="1" fontId="20" fillId="3" borderId="0" xfId="0" applyNumberFormat="1" applyFont="1" applyFill="1" applyBorder="1" applyAlignment="1" applyProtection="1">
      <alignment horizontal="center"/>
      <protection locked="0"/>
    </xf>
    <xf numFmtId="0" fontId="73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98" fillId="2" borderId="18" xfId="0" applyFont="1" applyFill="1" applyBorder="1" applyAlignment="1" applyProtection="1">
      <alignment horizontal="right"/>
      <protection locked="0"/>
    </xf>
    <xf numFmtId="165" fontId="99" fillId="2" borderId="19" xfId="2" applyFont="1" applyFill="1" applyBorder="1" applyAlignment="1" applyProtection="1">
      <alignment horizontal="right"/>
      <protection locked="0"/>
    </xf>
    <xf numFmtId="0" fontId="47" fillId="2" borderId="16" xfId="0" quotePrefix="1" applyFont="1" applyFill="1" applyBorder="1" applyAlignment="1" applyProtection="1">
      <protection locked="0"/>
    </xf>
    <xf numFmtId="0" fontId="47" fillId="2" borderId="0" xfId="0" quotePrefix="1" applyFont="1" applyFill="1" applyBorder="1" applyAlignment="1" applyProtection="1">
      <protection locked="0"/>
    </xf>
    <xf numFmtId="168" fontId="43" fillId="2" borderId="16" xfId="0" applyNumberFormat="1" applyFont="1" applyFill="1" applyBorder="1" applyAlignment="1" applyProtection="1">
      <protection locked="0"/>
    </xf>
    <xf numFmtId="165" fontId="45" fillId="2" borderId="16" xfId="2" quotePrefix="1" applyFont="1" applyFill="1" applyBorder="1" applyAlignment="1" applyProtection="1">
      <protection locked="0"/>
    </xf>
    <xf numFmtId="165" fontId="46" fillId="2" borderId="16" xfId="2" quotePrefix="1" applyFont="1" applyFill="1" applyBorder="1" applyAlignment="1" applyProtection="1">
      <protection locked="0"/>
    </xf>
    <xf numFmtId="0" fontId="48" fillId="2" borderId="0" xfId="0" applyFont="1" applyFill="1" applyBorder="1" applyAlignment="1" applyProtection="1">
      <protection locked="0"/>
    </xf>
    <xf numFmtId="0" fontId="48" fillId="2" borderId="16" xfId="0" applyFont="1" applyFill="1" applyBorder="1" applyAlignment="1" applyProtection="1">
      <protection locked="0"/>
    </xf>
    <xf numFmtId="0" fontId="108" fillId="2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111" fillId="4" borderId="0" xfId="0" applyFont="1" applyFill="1" applyProtection="1">
      <protection locked="0"/>
    </xf>
    <xf numFmtId="0" fontId="19" fillId="4" borderId="0" xfId="0" applyFont="1" applyFill="1" applyBorder="1" applyProtection="1">
      <protection locked="0"/>
    </xf>
    <xf numFmtId="0" fontId="113" fillId="0" borderId="0" xfId="1" applyFont="1" applyAlignment="1" applyProtection="1"/>
    <xf numFmtId="0" fontId="109" fillId="2" borderId="0" xfId="0" applyFont="1" applyFill="1" applyProtection="1">
      <protection locked="0"/>
    </xf>
    <xf numFmtId="0" fontId="114" fillId="2" borderId="0" xfId="0" applyFont="1" applyFill="1" applyBorder="1" applyAlignment="1" applyProtection="1">
      <alignment horizontal="left"/>
      <protection locked="0"/>
    </xf>
    <xf numFmtId="0" fontId="115" fillId="2" borderId="0" xfId="0" applyFont="1" applyFill="1" applyBorder="1" applyProtection="1">
      <protection locked="0"/>
    </xf>
    <xf numFmtId="1" fontId="115" fillId="2" borderId="0" xfId="0" quotePrefix="1" applyNumberFormat="1" applyFont="1" applyFill="1" applyBorder="1" applyAlignment="1" applyProtection="1">
      <alignment horizontal="right"/>
      <protection locked="0"/>
    </xf>
    <xf numFmtId="1" fontId="115" fillId="2" borderId="0" xfId="0" applyNumberFormat="1" applyFont="1" applyFill="1" applyBorder="1" applyAlignment="1" applyProtection="1">
      <alignment horizontal="left"/>
      <protection locked="0"/>
    </xf>
    <xf numFmtId="0" fontId="115" fillId="2" borderId="0" xfId="0" applyFont="1" applyFill="1" applyBorder="1" applyAlignment="1" applyProtection="1">
      <alignment horizontal="left"/>
      <protection locked="0"/>
    </xf>
    <xf numFmtId="0" fontId="115" fillId="2" borderId="0" xfId="0" quotePrefix="1" applyFont="1" applyFill="1" applyBorder="1" applyProtection="1">
      <protection locked="0"/>
    </xf>
    <xf numFmtId="1" fontId="115" fillId="2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0" fontId="116" fillId="5" borderId="0" xfId="1" applyFont="1" applyFill="1" applyAlignment="1" applyProtection="1"/>
    <xf numFmtId="0" fontId="117" fillId="5" borderId="0" xfId="1" applyFont="1" applyFill="1" applyAlignment="1" applyProtection="1"/>
    <xf numFmtId="0" fontId="20" fillId="2" borderId="0" xfId="0" applyFont="1" applyFill="1" applyBorder="1" applyAlignment="1" applyProtection="1">
      <alignment horizontal="left"/>
      <protection locked="0"/>
    </xf>
    <xf numFmtId="0" fontId="34" fillId="2" borderId="0" xfId="0" applyFont="1" applyFill="1" applyBorder="1" applyProtection="1">
      <protection locked="0"/>
    </xf>
    <xf numFmtId="0" fontId="32" fillId="2" borderId="8" xfId="0" applyFont="1" applyFill="1" applyBorder="1" applyProtection="1">
      <protection locked="0"/>
    </xf>
    <xf numFmtId="0" fontId="49" fillId="2" borderId="8" xfId="0" applyFont="1" applyFill="1" applyBorder="1" applyProtection="1">
      <protection locked="0"/>
    </xf>
    <xf numFmtId="0" fontId="42" fillId="2" borderId="0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27" fillId="2" borderId="14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7" fillId="2" borderId="0" xfId="0" applyFont="1" applyFill="1" applyBorder="1" applyProtection="1">
      <protection locked="0"/>
    </xf>
    <xf numFmtId="0" fontId="62" fillId="2" borderId="0" xfId="0" applyFont="1" applyFill="1" applyBorder="1" applyProtection="1">
      <protection locked="0"/>
    </xf>
    <xf numFmtId="0" fontId="20" fillId="2" borderId="3" xfId="0" applyFont="1" applyFill="1" applyBorder="1" applyProtection="1">
      <protection locked="0"/>
    </xf>
    <xf numFmtId="0" fontId="38" fillId="2" borderId="11" xfId="1" applyFill="1" applyBorder="1" applyAlignment="1" applyProtection="1">
      <protection locked="0"/>
    </xf>
    <xf numFmtId="0" fontId="77" fillId="3" borderId="0" xfId="0" applyFont="1" applyFill="1" applyBorder="1" applyAlignment="1" applyProtection="1">
      <alignment vertical="top"/>
      <protection locked="0"/>
    </xf>
    <xf numFmtId="0" fontId="109" fillId="2" borderId="0" xfId="0" applyFont="1" applyFill="1" applyBorder="1" applyProtection="1">
      <protection locked="0"/>
    </xf>
    <xf numFmtId="0" fontId="77" fillId="3" borderId="0" xfId="0" applyFont="1" applyFill="1" applyBorder="1" applyAlignment="1" applyProtection="1">
      <protection locked="0"/>
    </xf>
    <xf numFmtId="0" fontId="89" fillId="3" borderId="0" xfId="0" applyFont="1" applyFill="1" applyBorder="1" applyProtection="1">
      <protection locked="0"/>
    </xf>
    <xf numFmtId="0" fontId="92" fillId="3" borderId="0" xfId="0" applyFont="1" applyFill="1" applyBorder="1" applyProtection="1">
      <protection locked="0"/>
    </xf>
    <xf numFmtId="0" fontId="110" fillId="4" borderId="0" xfId="0" applyFont="1" applyFill="1" applyProtection="1">
      <protection locked="0"/>
    </xf>
    <xf numFmtId="0" fontId="112" fillId="2" borderId="0" xfId="0" applyFont="1" applyFill="1" applyProtection="1">
      <protection locked="0"/>
    </xf>
    <xf numFmtId="0" fontId="43" fillId="2" borderId="0" xfId="0" applyFont="1" applyFill="1" applyBorder="1" applyAlignment="1" applyProtection="1">
      <alignment horizontal="right"/>
      <protection locked="0"/>
    </xf>
    <xf numFmtId="171" fontId="58" fillId="2" borderId="0" xfId="3" applyNumberFormat="1" applyFont="1" applyFill="1" applyBorder="1" applyAlignment="1" applyProtection="1">
      <alignment horizontal="left"/>
      <protection locked="0"/>
    </xf>
    <xf numFmtId="0" fontId="113" fillId="0" borderId="0" xfId="1" applyFont="1" applyAlignment="1" applyProtection="1">
      <alignment horizontal="center"/>
    </xf>
    <xf numFmtId="168" fontId="43" fillId="2" borderId="0" xfId="0" quotePrefix="1" applyNumberFormat="1" applyFont="1" applyFill="1" applyBorder="1" applyAlignment="1" applyProtection="1">
      <alignment horizontal="center"/>
      <protection locked="0"/>
    </xf>
    <xf numFmtId="2" fontId="9" fillId="2" borderId="0" xfId="0" quotePrefix="1" applyNumberFormat="1" applyFont="1" applyFill="1" applyBorder="1" applyAlignment="1" applyProtection="1">
      <alignment horizontal="center"/>
      <protection locked="0"/>
    </xf>
    <xf numFmtId="2" fontId="9" fillId="2" borderId="8" xfId="0" quotePrefix="1" applyNumberFormat="1" applyFont="1" applyFill="1" applyBorder="1" applyAlignment="1" applyProtection="1">
      <alignment horizontal="center"/>
      <protection locked="0"/>
    </xf>
    <xf numFmtId="165" fontId="45" fillId="2" borderId="0" xfId="2" quotePrefix="1" applyFont="1" applyFill="1" applyBorder="1" applyAlignment="1" applyProtection="1">
      <alignment horizontal="center"/>
      <protection locked="0"/>
    </xf>
    <xf numFmtId="165" fontId="46" fillId="2" borderId="0" xfId="2" quotePrefix="1" applyFont="1" applyFill="1" applyBorder="1" applyAlignment="1" applyProtection="1">
      <alignment horizontal="center"/>
      <protection locked="0"/>
    </xf>
    <xf numFmtId="0" fontId="8" fillId="2" borderId="0" xfId="0" quotePrefix="1" applyFont="1" applyFill="1" applyBorder="1" applyAlignment="1" applyProtection="1">
      <alignment horizontal="right"/>
      <protection locked="0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projetos.unijui.edu.br/matematic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361951</xdr:colOff>
      <xdr:row>1</xdr:row>
      <xdr:rowOff>45925</xdr:rowOff>
    </xdr:from>
    <xdr:to>
      <xdr:col>8</xdr:col>
      <xdr:colOff>209551</xdr:colOff>
      <xdr:row>8</xdr:row>
      <xdr:rowOff>19050</xdr:rowOff>
    </xdr:to>
    <xdr:pic>
      <xdr:nvPicPr>
        <xdr:cNvPr id="2" name="Imagem 1" descr="aniTani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1" y="245950"/>
          <a:ext cx="1219200" cy="137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tos.unijui.edu.br/matematica/principal/financeira/planilha2.htm" TargetMode="External"/><Relationship Id="rId2" Type="http://schemas.openxmlformats.org/officeDocument/2006/relationships/hyperlink" Target="http://www.projetos.unijui.edu.br/matematica/principal/financeira" TargetMode="External"/><Relationship Id="rId1" Type="http://schemas.openxmlformats.org/officeDocument/2006/relationships/hyperlink" Target="../../../../FEIRA/taxa_metodo_tabela.xl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michel@gmail.com" TargetMode="External"/><Relationship Id="rId1" Type="http://schemas.openxmlformats.org/officeDocument/2006/relationships/hyperlink" Target="http://www.projetos.unijui.edu.br/matematica/principal/finance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9"/>
  <sheetViews>
    <sheetView tabSelected="1" topLeftCell="A44" workbookViewId="0">
      <selection activeCell="J60" sqref="J60"/>
    </sheetView>
  </sheetViews>
  <sheetFormatPr defaultRowHeight="15.75"/>
  <cols>
    <col min="1" max="1" width="1.625" style="224" customWidth="1"/>
    <col min="2" max="2" width="1.625" style="1" customWidth="1"/>
    <col min="3" max="3" width="1.625" style="224" customWidth="1"/>
    <col min="4" max="4" width="3.375" style="7" customWidth="1"/>
    <col min="5" max="5" width="8.5" style="7" customWidth="1"/>
    <col min="6" max="6" width="3.875" style="7" customWidth="1"/>
    <col min="7" max="7" width="7.5" style="7" customWidth="1"/>
    <col min="8" max="8" width="3.875" style="7" customWidth="1"/>
    <col min="9" max="9" width="8.5" style="7" customWidth="1"/>
    <col min="10" max="10" width="8.625" style="7" customWidth="1"/>
    <col min="11" max="11" width="9.125" style="7" customWidth="1"/>
    <col min="12" max="12" width="13.125" style="7" customWidth="1"/>
    <col min="13" max="13" width="4.5" style="7" customWidth="1"/>
    <col min="14" max="14" width="6.25" style="7" customWidth="1"/>
    <col min="15" max="15" width="6.75" style="7" customWidth="1"/>
    <col min="16" max="16" width="3" style="7" customWidth="1"/>
    <col min="17" max="17" width="5.25" style="7" customWidth="1"/>
    <col min="18" max="18" width="11" style="6" customWidth="1"/>
    <col min="19" max="19" width="1.375" style="221" customWidth="1"/>
    <col min="20" max="20" width="1.375" style="8" customWidth="1"/>
    <col min="21" max="21" width="1.25" style="221" customWidth="1"/>
    <col min="22" max="29" width="9" style="221"/>
    <col min="30" max="33" width="9" style="219"/>
    <col min="34" max="16384" width="9" style="7"/>
  </cols>
  <sheetData>
    <row r="1" spans="1:29" s="219" customFormat="1" ht="9.75" customHeight="1">
      <c r="A1" s="237"/>
      <c r="C1" s="237"/>
      <c r="R1" s="220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</row>
    <row r="2" spans="1:29" ht="9.75" customHeight="1">
      <c r="C2" s="90"/>
      <c r="S2" s="6"/>
    </row>
    <row r="3" spans="1:29" s="219" customFormat="1" ht="9.75" customHeight="1">
      <c r="A3" s="224"/>
      <c r="B3" s="1"/>
      <c r="C3" s="224"/>
      <c r="R3" s="220"/>
      <c r="S3" s="221"/>
      <c r="T3" s="8"/>
      <c r="U3" s="221"/>
      <c r="V3" s="221"/>
      <c r="W3" s="221"/>
      <c r="X3" s="221"/>
      <c r="Y3" s="221"/>
      <c r="Z3" s="221"/>
      <c r="AA3" s="221"/>
      <c r="AB3" s="221"/>
      <c r="AC3" s="221"/>
    </row>
    <row r="4" spans="1:29" ht="18.75" customHeight="1">
      <c r="D4" s="2" t="s">
        <v>0</v>
      </c>
      <c r="E4" s="2"/>
      <c r="F4" s="2"/>
      <c r="G4" s="2"/>
      <c r="H4" s="2"/>
      <c r="I4" s="2"/>
      <c r="J4" s="3" t="s">
        <v>34</v>
      </c>
      <c r="K4" s="4"/>
      <c r="L4" s="5" t="s">
        <v>72</v>
      </c>
      <c r="M4" s="6"/>
      <c r="U4" s="228"/>
    </row>
    <row r="5" spans="1:29" ht="15" customHeight="1">
      <c r="E5" s="2"/>
      <c r="F5" s="2"/>
      <c r="G5" s="2"/>
      <c r="H5" s="2"/>
      <c r="I5" s="2"/>
      <c r="J5" s="10" t="s">
        <v>89</v>
      </c>
      <c r="K5" s="11"/>
      <c r="L5" s="12"/>
      <c r="M5" s="13"/>
      <c r="S5" s="228"/>
      <c r="T5" s="9"/>
      <c r="U5" s="228"/>
    </row>
    <row r="6" spans="1:29" ht="18" customHeight="1">
      <c r="D6" s="2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228"/>
      <c r="T6" s="9"/>
      <c r="U6" s="228"/>
    </row>
    <row r="7" spans="1:29" ht="18" customHeight="1">
      <c r="D7" s="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228"/>
      <c r="T7" s="9"/>
      <c r="U7" s="228"/>
    </row>
    <row r="8" spans="1:29" ht="18">
      <c r="D8" s="23"/>
      <c r="E8" s="23" t="s">
        <v>66</v>
      </c>
      <c r="F8" s="23"/>
      <c r="G8" s="23"/>
      <c r="H8" s="23"/>
      <c r="I8" s="23"/>
      <c r="J8" s="23"/>
      <c r="K8" s="23"/>
      <c r="L8" s="254" t="s">
        <v>70</v>
      </c>
      <c r="M8" s="23"/>
      <c r="N8" s="23"/>
      <c r="O8" s="23"/>
      <c r="P8" s="23"/>
      <c r="Q8" s="23"/>
      <c r="R8" s="23"/>
      <c r="S8" s="229"/>
    </row>
    <row r="9" spans="1:29" ht="18.75" thickBot="1">
      <c r="D9" s="21"/>
      <c r="E9" s="21"/>
      <c r="F9" s="21"/>
      <c r="G9" s="21"/>
      <c r="H9" s="21"/>
      <c r="I9" s="43" t="s">
        <v>39</v>
      </c>
      <c r="J9" s="21"/>
      <c r="K9" s="21"/>
      <c r="L9" s="93"/>
      <c r="M9" s="23"/>
      <c r="N9" s="23"/>
      <c r="O9" s="23"/>
      <c r="P9" s="23"/>
      <c r="Q9" s="23"/>
      <c r="R9" s="44"/>
    </row>
    <row r="10" spans="1:29" ht="18.75" thickBot="1">
      <c r="D10" s="319" t="s">
        <v>68</v>
      </c>
      <c r="E10" s="21"/>
      <c r="F10" s="21"/>
      <c r="G10" s="21"/>
      <c r="H10" s="21"/>
      <c r="I10" s="21"/>
      <c r="J10" s="21"/>
      <c r="K10" s="21"/>
      <c r="L10" s="22">
        <v>2500</v>
      </c>
      <c r="M10" s="23"/>
      <c r="N10" s="23"/>
      <c r="O10" s="23"/>
      <c r="P10" s="23"/>
      <c r="Q10" s="23"/>
      <c r="R10" s="24"/>
    </row>
    <row r="11" spans="1:29" ht="8.25" customHeight="1" thickBot="1">
      <c r="D11" s="21"/>
      <c r="E11" s="21"/>
      <c r="F11" s="21"/>
      <c r="G11" s="21"/>
      <c r="H11" s="21"/>
      <c r="I11" s="21"/>
      <c r="J11" s="21"/>
      <c r="K11" s="21"/>
      <c r="L11" s="25"/>
      <c r="M11" s="23"/>
      <c r="N11" s="26"/>
      <c r="O11" s="15"/>
      <c r="P11" s="15"/>
      <c r="Q11" s="15"/>
      <c r="R11" s="27"/>
    </row>
    <row r="12" spans="1:29" ht="18.75" thickBot="1">
      <c r="D12" s="320" t="s">
        <v>42</v>
      </c>
      <c r="E12" s="28"/>
      <c r="F12" s="21"/>
      <c r="G12" s="21"/>
      <c r="H12" s="21"/>
      <c r="I12" s="21"/>
      <c r="J12" s="21"/>
      <c r="K12" s="21"/>
      <c r="L12" s="29">
        <v>1000</v>
      </c>
      <c r="M12" s="23"/>
      <c r="N12" s="30"/>
      <c r="O12" s="26"/>
      <c r="P12" s="26"/>
      <c r="Q12" s="26"/>
      <c r="R12" s="31"/>
    </row>
    <row r="13" spans="1:29" ht="9.75" customHeight="1" thickBot="1">
      <c r="D13" s="21"/>
      <c r="E13" s="21"/>
      <c r="F13" s="21"/>
      <c r="G13" s="21"/>
      <c r="H13" s="21"/>
      <c r="I13" s="21"/>
      <c r="J13" s="21"/>
      <c r="K13" s="21"/>
      <c r="L13" s="25"/>
      <c r="M13" s="14"/>
      <c r="N13" s="30"/>
      <c r="O13" s="14"/>
      <c r="P13" s="14"/>
      <c r="Q13" s="14"/>
      <c r="R13" s="32"/>
    </row>
    <row r="14" spans="1:29" ht="18.75" thickBot="1">
      <c r="D14" s="34" t="s">
        <v>37</v>
      </c>
      <c r="E14" s="21"/>
      <c r="F14" s="21"/>
      <c r="G14" s="21"/>
      <c r="H14" s="21"/>
      <c r="I14" s="21"/>
      <c r="J14" s="21"/>
      <c r="K14" s="21"/>
      <c r="L14" s="33">
        <v>6.6</v>
      </c>
      <c r="M14" s="34" t="s">
        <v>2</v>
      </c>
      <c r="N14" s="35"/>
      <c r="O14" s="36"/>
      <c r="P14" s="36"/>
      <c r="Q14" s="36"/>
      <c r="R14" s="31"/>
    </row>
    <row r="15" spans="1:29" ht="9.75" customHeight="1" thickBot="1">
      <c r="D15" s="14"/>
      <c r="E15" s="14"/>
      <c r="F15" s="14"/>
      <c r="G15" s="14"/>
      <c r="H15" s="14"/>
      <c r="I15" s="14"/>
      <c r="J15" s="14"/>
      <c r="K15" s="14"/>
      <c r="L15" s="37"/>
      <c r="M15" s="14"/>
      <c r="N15" s="30"/>
      <c r="O15" s="14"/>
      <c r="P15" s="14"/>
      <c r="Q15" s="14"/>
      <c r="R15" s="38"/>
    </row>
    <row r="16" spans="1:29" ht="18">
      <c r="D16" s="39" t="s">
        <v>38</v>
      </c>
      <c r="E16" s="39"/>
      <c r="F16" s="40"/>
      <c r="G16" s="40"/>
      <c r="H16" s="40"/>
      <c r="I16" s="303"/>
      <c r="J16" s="40"/>
      <c r="K16" s="40"/>
      <c r="L16" s="294">
        <v>1</v>
      </c>
      <c r="M16" s="39" t="s">
        <v>30</v>
      </c>
      <c r="N16" s="42"/>
      <c r="O16" s="43"/>
      <c r="P16" s="43"/>
      <c r="Q16" s="43"/>
      <c r="R16" s="31"/>
    </row>
    <row r="17" spans="1:33" ht="18.75" thickBot="1">
      <c r="D17" s="254" t="s">
        <v>3</v>
      </c>
      <c r="E17" s="103"/>
      <c r="F17" s="103"/>
      <c r="G17" s="103"/>
      <c r="H17" s="144"/>
      <c r="I17" s="103"/>
      <c r="J17" s="103"/>
      <c r="K17" s="103"/>
      <c r="L17" s="295">
        <f>(L10-L12)*(L14/100)/(1-(1+L14/100)^(-L16))</f>
        <v>1598.999999999998</v>
      </c>
      <c r="M17" s="175" t="s">
        <v>19</v>
      </c>
      <c r="N17" s="254"/>
      <c r="O17" s="100"/>
      <c r="P17" s="100"/>
      <c r="Q17" s="100"/>
      <c r="R17" s="92"/>
    </row>
    <row r="18" spans="1:33" s="219" customFormat="1" ht="26.25">
      <c r="A18" s="224"/>
      <c r="B18" s="1"/>
      <c r="C18" s="224"/>
      <c r="D18" s="305" t="s">
        <v>109</v>
      </c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6"/>
      <c r="S18" s="220"/>
      <c r="T18" s="8"/>
      <c r="U18" s="220"/>
      <c r="V18" s="221"/>
      <c r="W18" s="221"/>
      <c r="X18" s="221"/>
      <c r="Y18" s="221"/>
      <c r="Z18" s="221"/>
      <c r="AA18" s="221"/>
      <c r="AB18" s="221"/>
      <c r="AC18" s="221"/>
    </row>
    <row r="19" spans="1:33" ht="22.5" customHeight="1">
      <c r="D19" s="49" t="s">
        <v>22</v>
      </c>
      <c r="E19" s="49"/>
      <c r="F19" s="50" t="s">
        <v>35</v>
      </c>
      <c r="G19" s="51"/>
      <c r="H19" s="52"/>
      <c r="I19" s="53" t="s">
        <v>50</v>
      </c>
      <c r="J19" s="54"/>
      <c r="K19" s="54"/>
      <c r="L19" s="55"/>
      <c r="M19" s="56" t="s">
        <v>32</v>
      </c>
      <c r="N19" s="57">
        <f>L10-L12</f>
        <v>1500</v>
      </c>
      <c r="O19" s="23"/>
      <c r="P19" s="23"/>
      <c r="Q19" s="23"/>
      <c r="R19" s="44"/>
    </row>
    <row r="20" spans="1:33" ht="14.25" customHeight="1">
      <c r="D20" s="321" t="s">
        <v>36</v>
      </c>
      <c r="E20" s="58"/>
      <c r="F20" s="58"/>
      <c r="G20" s="59"/>
      <c r="H20" s="60"/>
      <c r="I20" s="61" t="s">
        <v>51</v>
      </c>
      <c r="J20" s="60"/>
      <c r="K20" s="60"/>
      <c r="L20" s="62"/>
      <c r="M20" s="63" t="s">
        <v>32</v>
      </c>
      <c r="N20" s="64" t="s">
        <v>33</v>
      </c>
      <c r="O20" s="23"/>
      <c r="P20" s="23"/>
      <c r="Q20" s="23"/>
      <c r="R20" s="44"/>
    </row>
    <row r="21" spans="1:33" ht="16.5" customHeight="1">
      <c r="D21" s="49" t="s">
        <v>23</v>
      </c>
      <c r="E21" s="49"/>
      <c r="F21" s="65" t="s">
        <v>45</v>
      </c>
      <c r="G21" s="51"/>
      <c r="H21" s="52"/>
      <c r="I21" s="66" t="s">
        <v>52</v>
      </c>
      <c r="J21" s="60"/>
      <c r="K21" s="60"/>
      <c r="L21" s="62"/>
      <c r="M21" s="63" t="s">
        <v>32</v>
      </c>
      <c r="N21" s="67">
        <f>L14/100</f>
        <v>6.6000000000000003E-2</v>
      </c>
      <c r="O21" s="23"/>
      <c r="P21" s="23"/>
      <c r="Q21" s="23"/>
      <c r="R21" s="44"/>
    </row>
    <row r="22" spans="1:33" ht="16.5" customHeight="1">
      <c r="D22" s="322" t="s">
        <v>46</v>
      </c>
      <c r="E22" s="58"/>
      <c r="F22" s="58"/>
      <c r="G22" s="59"/>
      <c r="H22" s="60"/>
      <c r="I22" s="68" t="s">
        <v>53</v>
      </c>
      <c r="J22" s="58"/>
      <c r="K22" s="58"/>
      <c r="L22" s="58"/>
      <c r="M22" s="69" t="s">
        <v>32</v>
      </c>
      <c r="N22" s="70">
        <f>L16</f>
        <v>1</v>
      </c>
      <c r="O22" s="14"/>
      <c r="P22" s="14"/>
      <c r="Q22" s="14"/>
      <c r="R22" s="44"/>
    </row>
    <row r="23" spans="1:33" s="74" customFormat="1" ht="12.75">
      <c r="A23" s="223"/>
      <c r="B23" s="71"/>
      <c r="C23" s="223"/>
      <c r="D23" s="72" t="s">
        <v>24</v>
      </c>
      <c r="E23" s="72"/>
      <c r="F23" s="72"/>
      <c r="G23" s="72"/>
      <c r="H23" s="72"/>
      <c r="I23" s="72"/>
      <c r="J23" s="72"/>
      <c r="K23" s="73">
        <f xml:space="preserve"> - L16</f>
        <v>-1</v>
      </c>
      <c r="L23" s="72"/>
      <c r="M23" s="72"/>
      <c r="N23" s="72"/>
      <c r="R23" s="75"/>
      <c r="S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</row>
    <row r="24" spans="1:33" s="74" customFormat="1" ht="18">
      <c r="A24" s="223"/>
      <c r="B24" s="71"/>
      <c r="C24" s="223"/>
      <c r="D24" s="97" t="s">
        <v>47</v>
      </c>
      <c r="E24" s="76">
        <f>L10-L12</f>
        <v>1500</v>
      </c>
      <c r="F24" s="77" t="s">
        <v>25</v>
      </c>
      <c r="G24" s="339">
        <f>L14/100</f>
        <v>6.6000000000000003E-2</v>
      </c>
      <c r="H24" s="339"/>
      <c r="I24" s="79" t="s">
        <v>48</v>
      </c>
      <c r="J24" s="80">
        <f>L14/100</f>
        <v>6.6000000000000003E-2</v>
      </c>
      <c r="K24" s="81" t="s">
        <v>49</v>
      </c>
      <c r="L24" s="72"/>
      <c r="M24" s="72"/>
      <c r="N24" s="72"/>
      <c r="R24" s="75"/>
      <c r="S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1:33" s="74" customFormat="1" ht="22.5" customHeight="1">
      <c r="A25" s="223"/>
      <c r="B25" s="71"/>
      <c r="C25" s="223"/>
      <c r="D25" s="97" t="s">
        <v>26</v>
      </c>
      <c r="E25" s="82">
        <f>E24*G24</f>
        <v>99</v>
      </c>
      <c r="F25" s="83" t="s">
        <v>31</v>
      </c>
      <c r="G25" s="72"/>
      <c r="H25" s="340">
        <f>(1+G24)^(K23)</f>
        <v>0.9380863039399624</v>
      </c>
      <c r="I25" s="340"/>
      <c r="J25" s="84" t="s">
        <v>28</v>
      </c>
      <c r="K25" s="72"/>
      <c r="L25" s="72"/>
      <c r="M25" s="72"/>
      <c r="N25" s="72"/>
      <c r="R25" s="75"/>
      <c r="S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</row>
    <row r="26" spans="1:33" s="74" customFormat="1" ht="30.75" customHeight="1">
      <c r="A26" s="223"/>
      <c r="B26" s="71"/>
      <c r="C26" s="223"/>
      <c r="D26" s="97" t="s">
        <v>29</v>
      </c>
      <c r="E26" s="82">
        <f>E25</f>
        <v>99</v>
      </c>
      <c r="F26" s="83" t="s">
        <v>27</v>
      </c>
      <c r="G26" s="85">
        <f>1-H25</f>
        <v>6.1913696060037604E-2</v>
      </c>
      <c r="H26" s="85"/>
      <c r="I26" s="72"/>
      <c r="J26" s="72"/>
      <c r="K26" s="72"/>
      <c r="L26" s="72"/>
      <c r="M26" s="72"/>
      <c r="N26" s="72"/>
      <c r="R26" s="75"/>
      <c r="S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</row>
    <row r="27" spans="1:33" s="74" customFormat="1" ht="30.75" customHeight="1">
      <c r="A27" s="223"/>
      <c r="B27" s="71"/>
      <c r="C27" s="223"/>
      <c r="D27" s="97" t="s">
        <v>26</v>
      </c>
      <c r="E27" s="86">
        <f>E26/G26</f>
        <v>1598.999999999998</v>
      </c>
      <c r="F27" s="87"/>
      <c r="G27" s="72"/>
      <c r="H27" s="72"/>
      <c r="I27" s="72"/>
      <c r="J27" s="72"/>
      <c r="K27" s="72"/>
      <c r="L27" s="72"/>
      <c r="M27" s="72"/>
      <c r="N27" s="72"/>
      <c r="R27" s="75"/>
      <c r="S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</row>
    <row r="28" spans="1:33" s="245" customFormat="1" ht="12.75">
      <c r="A28" s="223"/>
      <c r="B28" s="71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T28" s="74"/>
    </row>
    <row r="29" spans="1:33" s="245" customFormat="1" ht="12.75">
      <c r="A29" s="22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9"/>
      <c r="T29" s="74"/>
    </row>
    <row r="30" spans="1:33" s="245" customFormat="1" ht="6.75" customHeight="1">
      <c r="A30" s="223"/>
      <c r="B30" s="71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T30" s="74"/>
    </row>
    <row r="31" spans="1:33" s="74" customFormat="1" ht="20.25">
      <c r="A31" s="223"/>
      <c r="B31" s="71"/>
      <c r="C31" s="223"/>
      <c r="D31" s="2" t="s">
        <v>0</v>
      </c>
      <c r="E31" s="167"/>
      <c r="F31" s="87"/>
      <c r="G31" s="72"/>
      <c r="H31" s="72"/>
      <c r="I31" s="72"/>
      <c r="J31" s="72"/>
      <c r="K31" s="72"/>
      <c r="L31" s="72"/>
      <c r="M31" s="72"/>
      <c r="N31" s="72"/>
      <c r="R31" s="75"/>
      <c r="S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</row>
    <row r="32" spans="1:33" s="74" customFormat="1" ht="20.25">
      <c r="A32" s="223"/>
      <c r="B32" s="71"/>
      <c r="C32" s="223"/>
      <c r="D32" s="2" t="s">
        <v>1</v>
      </c>
      <c r="E32" s="14"/>
      <c r="F32" s="87"/>
      <c r="G32" s="72"/>
      <c r="H32" s="72"/>
      <c r="I32" s="72"/>
      <c r="J32" s="72"/>
      <c r="K32" s="72"/>
      <c r="N32" s="3" t="s">
        <v>34</v>
      </c>
      <c r="O32" s="88"/>
      <c r="P32" s="4" t="s">
        <v>72</v>
      </c>
      <c r="Q32" s="4"/>
      <c r="R32" s="89"/>
      <c r="S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</row>
    <row r="33" spans="1:33" s="74" customFormat="1" ht="16.5" customHeight="1">
      <c r="A33" s="223"/>
      <c r="B33" s="71"/>
      <c r="C33" s="223"/>
      <c r="D33" s="72"/>
      <c r="E33" s="167"/>
      <c r="F33" s="87"/>
      <c r="G33" s="72"/>
      <c r="H33" s="72"/>
      <c r="I33" s="72"/>
      <c r="J33" s="72"/>
      <c r="K33" s="72"/>
      <c r="N33" s="247" t="s">
        <v>88</v>
      </c>
      <c r="O33" s="248"/>
      <c r="P33" s="248"/>
      <c r="Q33" s="248"/>
      <c r="R33" s="249"/>
      <c r="S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1:33" s="30" customFormat="1" ht="18">
      <c r="A34" s="223"/>
      <c r="B34" s="90"/>
      <c r="C34" s="224"/>
      <c r="D34" s="250" t="s">
        <v>67</v>
      </c>
      <c r="E34" s="250"/>
      <c r="F34" s="250"/>
      <c r="G34" s="250"/>
      <c r="H34" s="250"/>
      <c r="I34" s="250"/>
      <c r="J34" s="250"/>
      <c r="K34" s="251" t="s">
        <v>71</v>
      </c>
      <c r="L34" s="252"/>
      <c r="M34" s="252"/>
      <c r="N34" s="252"/>
      <c r="O34" s="252"/>
      <c r="P34" s="252"/>
      <c r="Q34" s="252"/>
      <c r="R34" s="253"/>
      <c r="S34" s="228"/>
      <c r="T34" s="9"/>
      <c r="U34" s="228"/>
      <c r="V34" s="228"/>
      <c r="W34" s="228"/>
      <c r="X34" s="228"/>
      <c r="Y34" s="228"/>
      <c r="Z34" s="228"/>
      <c r="AA34" s="228"/>
      <c r="AB34" s="228"/>
      <c r="AC34" s="228"/>
      <c r="AD34" s="237"/>
      <c r="AE34" s="237"/>
      <c r="AF34" s="237"/>
      <c r="AG34" s="237"/>
    </row>
    <row r="35" spans="1:33" ht="18.75" thickBot="1">
      <c r="A35" s="223"/>
      <c r="B35" s="90"/>
      <c r="D35" s="23"/>
      <c r="E35" s="23"/>
      <c r="F35" s="23"/>
      <c r="G35" s="23"/>
      <c r="H35" s="23"/>
      <c r="I35" s="43" t="s">
        <v>39</v>
      </c>
      <c r="J35" s="23"/>
      <c r="K35" s="23"/>
      <c r="L35" s="17"/>
      <c r="M35" s="17"/>
      <c r="N35" s="17"/>
      <c r="O35" s="17"/>
      <c r="P35" s="17"/>
      <c r="Q35" s="17"/>
      <c r="R35" s="44"/>
    </row>
    <row r="36" spans="1:33" ht="18.75" hidden="1" thickBot="1">
      <c r="A36" s="223"/>
      <c r="B36" s="90"/>
      <c r="D36" s="23"/>
      <c r="E36" s="23"/>
      <c r="F36" s="23"/>
      <c r="G36" s="23"/>
      <c r="H36" s="23"/>
      <c r="I36" s="23"/>
      <c r="J36" s="23"/>
      <c r="K36" s="23"/>
      <c r="L36" s="17"/>
      <c r="M36" s="17"/>
      <c r="N36" s="17"/>
      <c r="O36" s="17"/>
      <c r="P36" s="17"/>
      <c r="Q36" s="17"/>
      <c r="R36" s="44"/>
    </row>
    <row r="37" spans="1:33" ht="18.75" hidden="1" thickBot="1">
      <c r="A37" s="223"/>
      <c r="D37" s="23"/>
      <c r="E37" s="23"/>
      <c r="F37" s="23"/>
      <c r="G37" s="23"/>
      <c r="H37" s="23"/>
      <c r="I37" s="23"/>
      <c r="J37" s="23"/>
      <c r="K37" s="23"/>
      <c r="L37" s="93"/>
      <c r="M37" s="23"/>
      <c r="N37" s="23"/>
      <c r="O37" s="23"/>
      <c r="P37" s="23"/>
      <c r="Q37" s="23"/>
      <c r="R37" s="44"/>
    </row>
    <row r="38" spans="1:33" ht="18.75" thickBot="1">
      <c r="A38" s="223"/>
      <c r="D38" s="170" t="s">
        <v>43</v>
      </c>
      <c r="E38" s="23"/>
      <c r="F38" s="23"/>
      <c r="G38" s="23"/>
      <c r="H38" s="23"/>
      <c r="I38" s="23"/>
      <c r="J38" s="23"/>
      <c r="K38" s="23"/>
      <c r="L38" s="22">
        <f>L10</f>
        <v>2500</v>
      </c>
      <c r="M38" s="23"/>
      <c r="N38" s="23"/>
      <c r="O38" s="23"/>
      <c r="P38" s="23"/>
      <c r="Q38" s="23"/>
      <c r="R38" s="44"/>
    </row>
    <row r="39" spans="1:33" ht="7.5" customHeight="1" thickBot="1">
      <c r="A39" s="223"/>
      <c r="D39" s="84"/>
      <c r="E39" s="23"/>
      <c r="F39" s="23"/>
      <c r="G39" s="23"/>
      <c r="H39" s="23"/>
      <c r="I39" s="23"/>
      <c r="J39" s="23"/>
      <c r="K39" s="23"/>
      <c r="L39" s="94"/>
      <c r="M39" s="23"/>
      <c r="N39" s="23"/>
      <c r="O39" s="23"/>
      <c r="P39" s="23"/>
      <c r="Q39" s="23"/>
      <c r="R39" s="44"/>
    </row>
    <row r="40" spans="1:33" ht="18.75" thickBot="1">
      <c r="A40" s="223"/>
      <c r="D40" s="320" t="s">
        <v>44</v>
      </c>
      <c r="E40" s="23"/>
      <c r="F40" s="23"/>
      <c r="G40" s="23"/>
      <c r="H40" s="23"/>
      <c r="I40" s="23"/>
      <c r="J40" s="23"/>
      <c r="K40" s="23"/>
      <c r="L40" s="29">
        <v>0</v>
      </c>
      <c r="M40" s="23"/>
      <c r="N40" s="23"/>
      <c r="O40" s="23"/>
      <c r="P40" s="23"/>
      <c r="Q40" s="23"/>
      <c r="R40" s="44"/>
    </row>
    <row r="41" spans="1:33" ht="9" customHeight="1" thickBot="1">
      <c r="A41" s="223"/>
      <c r="D41" s="174"/>
      <c r="E41" s="14"/>
      <c r="F41" s="14"/>
      <c r="G41" s="14"/>
      <c r="H41" s="14"/>
      <c r="I41" s="14"/>
      <c r="J41" s="14"/>
      <c r="K41" s="14"/>
      <c r="L41" s="37"/>
      <c r="M41" s="14"/>
      <c r="N41" s="14"/>
      <c r="O41" s="14"/>
      <c r="P41" s="14"/>
      <c r="Q41" s="14"/>
      <c r="R41" s="44"/>
    </row>
    <row r="42" spans="1:33" ht="16.5" customHeight="1" thickBot="1">
      <c r="A42" s="223"/>
      <c r="D42" s="323" t="s">
        <v>4</v>
      </c>
      <c r="E42" s="23"/>
      <c r="F42" s="23"/>
      <c r="G42" s="23"/>
      <c r="H42" s="23"/>
      <c r="I42" s="23"/>
      <c r="J42" s="23"/>
      <c r="K42" s="23"/>
      <c r="L42" s="95">
        <v>5</v>
      </c>
      <c r="M42" s="78" t="s">
        <v>2</v>
      </c>
      <c r="N42" s="23"/>
      <c r="O42" s="23"/>
      <c r="P42" s="23"/>
      <c r="Q42" s="23"/>
      <c r="R42" s="44"/>
    </row>
    <row r="43" spans="1:33" ht="8.25" customHeight="1" thickBot="1">
      <c r="A43" s="223"/>
      <c r="D43" s="174"/>
      <c r="E43" s="14"/>
      <c r="F43" s="14"/>
      <c r="G43" s="14"/>
      <c r="H43" s="14"/>
      <c r="I43" s="14"/>
      <c r="J43" s="14"/>
      <c r="K43" s="14"/>
      <c r="L43" s="37"/>
      <c r="M43" s="14"/>
      <c r="N43" s="14"/>
      <c r="O43" s="23"/>
      <c r="P43" s="23"/>
      <c r="Q43" s="23"/>
      <c r="R43" s="44"/>
    </row>
    <row r="44" spans="1:33" ht="20.25" customHeight="1" thickBot="1">
      <c r="A44" s="223"/>
      <c r="D44" s="175" t="s">
        <v>5</v>
      </c>
      <c r="E44" s="23"/>
      <c r="F44" s="23"/>
      <c r="G44" s="23"/>
      <c r="H44" s="23"/>
      <c r="I44" s="23"/>
      <c r="J44" s="23"/>
      <c r="K44" s="23"/>
      <c r="L44" s="96">
        <f>L17</f>
        <v>1598.999999999998</v>
      </c>
      <c r="M44" s="97" t="s">
        <v>41</v>
      </c>
      <c r="N44" s="23"/>
      <c r="O44" s="23"/>
      <c r="P44" s="23"/>
      <c r="Q44" s="23"/>
      <c r="R44" s="44"/>
    </row>
    <row r="45" spans="1:33" ht="23.25" customHeight="1" thickBot="1">
      <c r="A45" s="223"/>
      <c r="D45" s="98"/>
      <c r="E45" s="98"/>
      <c r="F45" s="98"/>
      <c r="G45" s="98"/>
      <c r="H45" s="98"/>
      <c r="I45" s="98"/>
      <c r="J45" s="98"/>
      <c r="K45" s="98"/>
      <c r="L45" s="37"/>
      <c r="M45" s="14"/>
      <c r="N45" s="14"/>
      <c r="O45" s="14"/>
      <c r="P45" s="14"/>
      <c r="Q45" s="14"/>
      <c r="R45" s="44"/>
    </row>
    <row r="46" spans="1:33" ht="18.75" thickBot="1">
      <c r="A46" s="223"/>
      <c r="D46" s="324" t="s">
        <v>7</v>
      </c>
      <c r="E46" s="45"/>
      <c r="F46" s="45"/>
      <c r="G46" s="45"/>
      <c r="H46" s="45"/>
      <c r="I46" s="45"/>
      <c r="J46" s="45"/>
      <c r="K46" s="45"/>
      <c r="L46" s="41">
        <f xml:space="preserve"> TRUNC(LN(L44/(L44-(L38-L40)*L42/100))/LN(1+L42/100)+0.99)</f>
        <v>2</v>
      </c>
      <c r="M46" s="14"/>
      <c r="N46" s="23" t="s">
        <v>65</v>
      </c>
      <c r="O46" s="23"/>
      <c r="P46" s="23"/>
      <c r="Q46" s="23"/>
      <c r="R46" s="44"/>
    </row>
    <row r="47" spans="1:33" ht="18">
      <c r="A47" s="223"/>
      <c r="D47" s="325" t="s">
        <v>8</v>
      </c>
      <c r="E47" s="241"/>
      <c r="F47" s="242"/>
      <c r="G47" s="242"/>
      <c r="H47" s="242"/>
      <c r="I47" s="242"/>
      <c r="J47" s="242"/>
      <c r="K47" s="242"/>
      <c r="L47" s="47">
        <f>(L38-L40)*(L42/100)/(1-(1+L42/100)^(-L46))</f>
        <v>1344.5121951219503</v>
      </c>
      <c r="M47" s="23"/>
      <c r="N47" s="23"/>
      <c r="O47" s="23"/>
      <c r="P47" s="23"/>
      <c r="Q47" s="23"/>
      <c r="R47" s="44"/>
    </row>
    <row r="48" spans="1:33" s="231" customFormat="1" ht="26.25">
      <c r="A48" s="223"/>
      <c r="B48" s="14"/>
      <c r="C48" s="225"/>
      <c r="D48" s="304"/>
      <c r="E48" s="304"/>
      <c r="F48" s="304"/>
      <c r="G48" s="304"/>
      <c r="H48" s="305" t="s">
        <v>103</v>
      </c>
      <c r="I48" s="304"/>
      <c r="J48" s="304"/>
      <c r="K48" s="304"/>
      <c r="L48" s="304"/>
      <c r="M48" s="304"/>
      <c r="N48" s="304"/>
      <c r="O48" s="304"/>
      <c r="P48" s="304"/>
      <c r="Q48" s="304"/>
      <c r="R48" s="306"/>
      <c r="T48" s="8"/>
    </row>
    <row r="49" spans="1:33" ht="18">
      <c r="A49" s="223"/>
      <c r="D49" s="146" t="s">
        <v>22</v>
      </c>
      <c r="E49" s="243" t="s">
        <v>34</v>
      </c>
      <c r="F49" s="74"/>
      <c r="G49" s="222" t="s">
        <v>40</v>
      </c>
      <c r="H49" s="168"/>
      <c r="I49" s="244">
        <v>2</v>
      </c>
      <c r="J49" s="181" t="s">
        <v>54</v>
      </c>
      <c r="K49" s="60"/>
      <c r="L49" s="60"/>
      <c r="M49" s="62"/>
      <c r="N49" s="63" t="s">
        <v>32</v>
      </c>
      <c r="O49" s="345">
        <f>L38-L40</f>
        <v>2500</v>
      </c>
      <c r="P49" s="345"/>
      <c r="Q49" s="345"/>
      <c r="R49" s="299"/>
    </row>
    <row r="50" spans="1:33" ht="15.75" customHeight="1">
      <c r="A50" s="223"/>
      <c r="D50" s="152" t="s">
        <v>21</v>
      </c>
      <c r="E50" s="101"/>
      <c r="F50" s="11"/>
      <c r="G50" s="12"/>
      <c r="H50" s="102"/>
      <c r="I50" s="103"/>
      <c r="J50" s="61" t="s">
        <v>51</v>
      </c>
      <c r="K50" s="60"/>
      <c r="L50" s="60"/>
      <c r="M50" s="62"/>
      <c r="N50" s="63" t="s">
        <v>32</v>
      </c>
      <c r="O50" s="346">
        <f>L47</f>
        <v>1344.5121951219503</v>
      </c>
      <c r="P50" s="346"/>
      <c r="Q50" s="346"/>
      <c r="R50" s="300"/>
    </row>
    <row r="51" spans="1:33" ht="18">
      <c r="A51" s="223"/>
      <c r="D51" s="30"/>
      <c r="E51" s="30"/>
      <c r="F51" s="103"/>
      <c r="G51" s="103"/>
      <c r="H51" s="103"/>
      <c r="I51" s="103"/>
      <c r="J51" s="66" t="s">
        <v>52</v>
      </c>
      <c r="K51" s="60"/>
      <c r="L51" s="60"/>
      <c r="M51" s="62"/>
      <c r="N51" s="63" t="s">
        <v>32</v>
      </c>
      <c r="O51" s="106">
        <f>L42/100</f>
        <v>0.05</v>
      </c>
      <c r="P51" s="297"/>
      <c r="Q51" s="297"/>
      <c r="R51" s="296"/>
    </row>
    <row r="52" spans="1:33" ht="18">
      <c r="A52" s="223"/>
      <c r="D52" s="326" t="s">
        <v>24</v>
      </c>
      <c r="E52" s="107" t="s">
        <v>114</v>
      </c>
      <c r="F52" s="108"/>
      <c r="G52" s="108"/>
      <c r="H52" s="108"/>
      <c r="I52" s="108"/>
      <c r="J52" s="68" t="s">
        <v>53</v>
      </c>
      <c r="K52" s="58"/>
      <c r="L52" s="58"/>
      <c r="M52" s="58"/>
      <c r="N52" s="69" t="s">
        <v>32</v>
      </c>
      <c r="O52" s="301" t="s">
        <v>20</v>
      </c>
      <c r="P52" s="301"/>
      <c r="Q52" s="301"/>
      <c r="R52" s="302"/>
    </row>
    <row r="53" spans="1:33" ht="18">
      <c r="A53" s="223"/>
      <c r="D53" s="146"/>
      <c r="E53" s="39"/>
      <c r="F53" s="103"/>
      <c r="G53" s="103"/>
      <c r="H53" s="103"/>
      <c r="I53" s="103"/>
      <c r="J53" s="112"/>
      <c r="K53" s="60"/>
      <c r="L53" s="60"/>
      <c r="M53" s="60"/>
      <c r="N53" s="63"/>
      <c r="O53" s="110"/>
      <c r="P53" s="110"/>
      <c r="Q53" s="110"/>
      <c r="R53" s="105"/>
    </row>
    <row r="54" spans="1:33" s="120" customFormat="1" ht="20.25">
      <c r="A54" s="223"/>
      <c r="B54" s="1"/>
      <c r="C54" s="224"/>
      <c r="D54" s="327"/>
      <c r="E54" s="113" t="s">
        <v>58</v>
      </c>
      <c r="F54" s="347" t="s">
        <v>115</v>
      </c>
      <c r="G54" s="343">
        <f>L44</f>
        <v>1598.999999999998</v>
      </c>
      <c r="H54" s="343"/>
      <c r="I54" s="83" t="s">
        <v>55</v>
      </c>
      <c r="J54" s="114">
        <f>L44</f>
        <v>1598.999999999998</v>
      </c>
      <c r="K54" s="115" t="s">
        <v>56</v>
      </c>
      <c r="L54" s="116">
        <f>O49</f>
        <v>2500</v>
      </c>
      <c r="M54" s="117" t="s">
        <v>25</v>
      </c>
      <c r="N54" s="118">
        <f>L42/100</f>
        <v>0.05</v>
      </c>
      <c r="O54" s="119" t="s">
        <v>63</v>
      </c>
      <c r="P54" s="342">
        <f>L42/100</f>
        <v>0.05</v>
      </c>
      <c r="Q54" s="342"/>
      <c r="R54" s="298" t="s">
        <v>57</v>
      </c>
      <c r="S54" s="232"/>
      <c r="T54" s="8"/>
      <c r="U54" s="221"/>
      <c r="V54" s="221"/>
      <c r="W54" s="221"/>
      <c r="X54" s="221"/>
      <c r="Y54" s="221"/>
      <c r="Z54" s="221"/>
      <c r="AA54" s="221"/>
      <c r="AB54" s="221"/>
      <c r="AC54" s="221"/>
      <c r="AD54" s="232"/>
      <c r="AE54" s="232"/>
      <c r="AF54" s="232"/>
      <c r="AG54" s="232"/>
    </row>
    <row r="55" spans="1:33" ht="10.5" customHeight="1">
      <c r="A55" s="223"/>
      <c r="D55" s="146"/>
      <c r="E55" s="39"/>
      <c r="F55" s="103"/>
      <c r="G55" s="103"/>
      <c r="H55" s="103"/>
      <c r="I55" s="103"/>
      <c r="J55" s="112"/>
      <c r="K55" s="60"/>
      <c r="L55" s="60"/>
      <c r="M55" s="60"/>
      <c r="N55" s="63"/>
      <c r="O55" s="110"/>
      <c r="P55" s="110"/>
      <c r="Q55" s="110"/>
      <c r="R55" s="105"/>
    </row>
    <row r="56" spans="1:33" ht="16.5" customHeight="1">
      <c r="A56" s="223"/>
      <c r="D56" s="146"/>
      <c r="E56" s="113" t="s">
        <v>58</v>
      </c>
      <c r="F56" s="347" t="s">
        <v>115</v>
      </c>
      <c r="G56" s="343">
        <f>L44</f>
        <v>1598.999999999998</v>
      </c>
      <c r="H56" s="343"/>
      <c r="I56" s="83" t="s">
        <v>55</v>
      </c>
      <c r="J56" s="121">
        <f>L44</f>
        <v>1598.999999999998</v>
      </c>
      <c r="K56" s="122" t="s">
        <v>56</v>
      </c>
      <c r="L56" s="123">
        <f>(L38-L40)*L42/100</f>
        <v>125</v>
      </c>
      <c r="M56" s="124" t="s">
        <v>59</v>
      </c>
      <c r="N56" s="30"/>
      <c r="O56" s="125">
        <f>1+L42/100</f>
        <v>1.05</v>
      </c>
      <c r="P56" s="126" t="s">
        <v>57</v>
      </c>
      <c r="Q56" s="126"/>
      <c r="R56" s="127"/>
      <c r="S56" s="219"/>
      <c r="T56" s="7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33" ht="18.75">
      <c r="A57" s="223"/>
      <c r="D57" s="103"/>
      <c r="E57" s="113" t="s">
        <v>58</v>
      </c>
      <c r="F57" s="347" t="s">
        <v>115</v>
      </c>
      <c r="G57" s="344">
        <f>L47</f>
        <v>1344.5121951219503</v>
      </c>
      <c r="H57" s="344"/>
      <c r="I57" s="128" t="s">
        <v>64</v>
      </c>
      <c r="J57" s="129">
        <f>J56-L56</f>
        <v>1473.999999999998</v>
      </c>
      <c r="K57" s="130" t="s">
        <v>61</v>
      </c>
      <c r="L57" s="125">
        <f>O56</f>
        <v>1.05</v>
      </c>
      <c r="M57" s="124" t="s">
        <v>57</v>
      </c>
      <c r="N57" s="30"/>
      <c r="O57" s="131"/>
      <c r="P57" s="126"/>
      <c r="Q57" s="126"/>
      <c r="R57" s="105"/>
    </row>
    <row r="58" spans="1:33" ht="18.75">
      <c r="A58" s="223"/>
      <c r="D58" s="103"/>
      <c r="E58" s="113" t="s">
        <v>58</v>
      </c>
      <c r="F58" s="347" t="s">
        <v>115</v>
      </c>
      <c r="G58" s="132">
        <f>G57/J57</f>
        <v>0.91215209981136514</v>
      </c>
      <c r="H58" s="132"/>
      <c r="I58" s="130" t="s">
        <v>62</v>
      </c>
      <c r="J58" s="125">
        <f>L57</f>
        <v>1.05</v>
      </c>
      <c r="K58" s="133" t="s">
        <v>57</v>
      </c>
      <c r="L58" s="134"/>
      <c r="M58" s="23"/>
      <c r="N58" s="23"/>
      <c r="O58" s="23"/>
      <c r="P58" s="23"/>
      <c r="Q58" s="23"/>
      <c r="R58" s="105"/>
    </row>
    <row r="59" spans="1:33" ht="24" customHeight="1">
      <c r="A59" s="223"/>
      <c r="D59" s="14"/>
      <c r="E59" s="113" t="s">
        <v>58</v>
      </c>
      <c r="F59" s="347" t="s">
        <v>116</v>
      </c>
      <c r="G59" s="135">
        <f>LN(G58)</f>
        <v>-9.1948526704441869E-2</v>
      </c>
      <c r="H59" s="135"/>
      <c r="I59" s="130" t="s">
        <v>60</v>
      </c>
      <c r="J59" s="34">
        <f>LN(J58)</f>
        <v>4.8790164169432049E-2</v>
      </c>
      <c r="K59" s="14" t="s">
        <v>57</v>
      </c>
      <c r="L59" s="14"/>
      <c r="M59" s="14"/>
      <c r="N59" s="14"/>
      <c r="O59" s="14"/>
      <c r="P59" s="14"/>
      <c r="Q59" s="14"/>
      <c r="R59" s="105"/>
    </row>
    <row r="60" spans="1:33" ht="18.75">
      <c r="A60" s="223"/>
      <c r="D60" s="14"/>
      <c r="E60" s="113" t="s">
        <v>58</v>
      </c>
      <c r="F60" s="93"/>
      <c r="G60" s="136">
        <f>-ROUND( G59/J59,1)</f>
        <v>1.9</v>
      </c>
      <c r="H60" s="136"/>
      <c r="I60" s="130"/>
      <c r="J60" s="14"/>
      <c r="K60" s="14"/>
      <c r="L60" s="14"/>
      <c r="M60" s="14"/>
      <c r="N60" s="14"/>
      <c r="O60" s="14"/>
      <c r="P60" s="14"/>
      <c r="Q60" s="14"/>
      <c r="R60" s="105"/>
      <c r="S60" s="228"/>
      <c r="T60" s="9"/>
      <c r="U60" s="228"/>
    </row>
    <row r="61" spans="1:33" ht="18.75">
      <c r="A61" s="223"/>
      <c r="D61" s="14"/>
      <c r="E61" s="113"/>
      <c r="F61" s="93"/>
      <c r="G61" s="136"/>
      <c r="H61" s="136"/>
      <c r="I61" s="130"/>
      <c r="J61" s="14"/>
      <c r="K61" s="14"/>
      <c r="L61" s="14"/>
      <c r="M61" s="14"/>
      <c r="N61" s="14"/>
      <c r="O61" s="14"/>
      <c r="P61" s="14"/>
      <c r="Q61" s="14"/>
      <c r="R61" s="15"/>
      <c r="S61" s="228"/>
      <c r="T61" s="9"/>
      <c r="U61" s="228"/>
    </row>
    <row r="62" spans="1:33" s="237" customFormat="1" ht="13.5" customHeight="1">
      <c r="A62" s="223"/>
      <c r="B62" s="1"/>
      <c r="C62" s="224"/>
      <c r="D62" s="225"/>
      <c r="E62" s="238"/>
      <c r="F62" s="239"/>
      <c r="G62" s="225"/>
      <c r="H62" s="225"/>
      <c r="I62" s="240"/>
      <c r="J62" s="225"/>
      <c r="K62" s="225"/>
      <c r="L62" s="225"/>
      <c r="M62" s="225"/>
      <c r="N62" s="225"/>
      <c r="O62" s="225"/>
      <c r="P62" s="225"/>
      <c r="Q62" s="225"/>
      <c r="R62" s="235"/>
      <c r="S62" s="228"/>
      <c r="T62" s="8"/>
      <c r="U62" s="228"/>
      <c r="V62" s="228"/>
      <c r="W62" s="228"/>
      <c r="X62" s="228"/>
      <c r="Y62" s="228"/>
      <c r="Z62" s="228"/>
      <c r="AA62" s="228"/>
      <c r="AB62" s="228"/>
      <c r="AC62" s="228"/>
    </row>
    <row r="63" spans="1:33" s="237" customFormat="1" ht="13.5" customHeight="1">
      <c r="A63" s="223"/>
      <c r="B63" s="1"/>
      <c r="C63" s="90"/>
      <c r="D63" s="14"/>
      <c r="E63" s="113"/>
      <c r="F63" s="93"/>
      <c r="G63" s="14"/>
      <c r="H63" s="14"/>
      <c r="I63" s="130"/>
      <c r="J63" s="14"/>
      <c r="K63" s="14"/>
      <c r="L63" s="14"/>
      <c r="M63" s="14"/>
      <c r="N63" s="14"/>
      <c r="O63" s="14"/>
      <c r="P63" s="14"/>
      <c r="Q63" s="14"/>
      <c r="R63" s="15"/>
      <c r="S63" s="9"/>
      <c r="T63" s="8"/>
      <c r="U63" s="228"/>
      <c r="V63" s="228"/>
      <c r="W63" s="228"/>
      <c r="X63" s="228"/>
      <c r="Y63" s="228"/>
      <c r="Z63" s="228"/>
      <c r="AA63" s="228"/>
      <c r="AB63" s="228"/>
      <c r="AC63" s="228"/>
    </row>
    <row r="64" spans="1:33" s="237" customFormat="1" ht="13.5" customHeight="1">
      <c r="A64" s="223"/>
      <c r="B64" s="1"/>
      <c r="C64" s="224"/>
      <c r="D64" s="225"/>
      <c r="E64" s="238"/>
      <c r="F64" s="239"/>
      <c r="G64" s="225"/>
      <c r="H64" s="225"/>
      <c r="I64" s="240"/>
      <c r="J64" s="225"/>
      <c r="K64" s="225"/>
      <c r="L64" s="225"/>
      <c r="M64" s="225"/>
      <c r="N64" s="225"/>
      <c r="O64" s="225"/>
      <c r="P64" s="225"/>
      <c r="Q64" s="225"/>
      <c r="R64" s="235"/>
      <c r="S64" s="228"/>
      <c r="T64" s="8"/>
      <c r="U64" s="228"/>
      <c r="V64" s="228"/>
      <c r="W64" s="228"/>
      <c r="X64" s="228"/>
      <c r="Y64" s="228"/>
      <c r="Z64" s="228"/>
      <c r="AA64" s="228"/>
      <c r="AB64" s="228"/>
      <c r="AC64" s="228"/>
    </row>
    <row r="65" spans="1:33" s="72" customFormat="1" ht="21" customHeight="1">
      <c r="A65" s="223"/>
      <c r="B65" s="1"/>
      <c r="C65" s="223"/>
      <c r="D65" s="2" t="s">
        <v>0</v>
      </c>
      <c r="E65" s="2"/>
      <c r="F65" s="2"/>
      <c r="G65" s="2"/>
      <c r="H65" s="2"/>
      <c r="J65" s="111" t="s">
        <v>34</v>
      </c>
      <c r="K65" s="74"/>
      <c r="L65" s="236" t="s">
        <v>72</v>
      </c>
      <c r="S65" s="233"/>
      <c r="T65" s="9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</row>
    <row r="66" spans="1:33" s="72" customFormat="1" ht="16.5" customHeight="1">
      <c r="A66" s="223"/>
      <c r="B66" s="71"/>
      <c r="C66" s="223"/>
      <c r="D66" s="7"/>
      <c r="E66" s="2"/>
      <c r="F66" s="2"/>
      <c r="G66" s="2"/>
      <c r="H66" s="2"/>
      <c r="J66" s="10" t="s">
        <v>73</v>
      </c>
      <c r="K66" s="11"/>
      <c r="L66" s="137"/>
      <c r="S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</row>
    <row r="67" spans="1:33" s="72" customFormat="1" ht="18.75" customHeight="1" thickBot="1">
      <c r="A67" s="223"/>
      <c r="B67" s="71"/>
      <c r="C67" s="223"/>
      <c r="D67" s="2" t="s">
        <v>1</v>
      </c>
      <c r="E67" s="14"/>
      <c r="F67" s="14"/>
      <c r="G67" s="14"/>
      <c r="H67" s="14"/>
      <c r="S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</row>
    <row r="68" spans="1:33" s="72" customFormat="1" ht="18.75" thickBot="1">
      <c r="A68" s="223"/>
      <c r="B68" s="1"/>
      <c r="C68" s="224"/>
      <c r="D68" s="16" t="s">
        <v>86</v>
      </c>
      <c r="E68" s="16"/>
      <c r="F68" s="16"/>
      <c r="G68" s="16"/>
      <c r="H68" s="16"/>
      <c r="I68" s="46"/>
      <c r="J68" s="46"/>
      <c r="K68" s="138" t="s">
        <v>69</v>
      </c>
      <c r="L68" s="46"/>
      <c r="M68" s="91"/>
      <c r="N68" s="91"/>
      <c r="O68" s="91"/>
      <c r="P68" s="91"/>
      <c r="Q68" s="91"/>
      <c r="R68" s="48"/>
      <c r="S68" s="221"/>
      <c r="T68" s="8"/>
      <c r="U68" s="221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</row>
    <row r="69" spans="1:33" s="72" customFormat="1" ht="18.75" thickBot="1">
      <c r="A69" s="223"/>
      <c r="B69" s="1"/>
      <c r="C69" s="224"/>
      <c r="D69" s="23"/>
      <c r="E69" s="23"/>
      <c r="F69" s="23"/>
      <c r="G69" s="23"/>
      <c r="H69" s="23"/>
      <c r="I69" s="23"/>
      <c r="J69" s="23"/>
      <c r="K69" s="23"/>
      <c r="L69" s="93"/>
      <c r="M69" s="23"/>
      <c r="N69" s="23"/>
      <c r="O69" s="23"/>
      <c r="P69" s="23"/>
      <c r="Q69" s="23"/>
      <c r="R69" s="15"/>
      <c r="S69" s="221"/>
      <c r="T69" s="8"/>
      <c r="U69" s="221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</row>
    <row r="70" spans="1:33" s="72" customFormat="1" ht="18.75" thickBot="1">
      <c r="A70" s="223"/>
      <c r="B70" s="1"/>
      <c r="C70" s="224"/>
      <c r="D70" s="328" t="s">
        <v>17</v>
      </c>
      <c r="E70" s="139"/>
      <c r="F70" s="139"/>
      <c r="G70" s="139"/>
      <c r="H70" s="139"/>
      <c r="I70" s="139"/>
      <c r="J70" s="139"/>
      <c r="K70" s="139"/>
      <c r="L70" s="140">
        <f>L12</f>
        <v>1000</v>
      </c>
      <c r="M70" s="139"/>
      <c r="N70" s="139"/>
      <c r="O70" s="139"/>
      <c r="P70" s="139"/>
      <c r="Q70" s="139"/>
      <c r="R70" s="15"/>
      <c r="S70" s="221"/>
      <c r="T70" s="8"/>
      <c r="U70" s="221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</row>
    <row r="71" spans="1:33" s="72" customFormat="1" ht="18.75" thickBot="1">
      <c r="A71" s="223"/>
      <c r="B71" s="1"/>
      <c r="C71" s="224"/>
      <c r="D71" s="14"/>
      <c r="E71" s="14"/>
      <c r="F71" s="14"/>
      <c r="G71" s="14"/>
      <c r="H71" s="14"/>
      <c r="I71" s="14"/>
      <c r="J71" s="14"/>
      <c r="K71" s="14"/>
      <c r="L71" s="37"/>
      <c r="M71" s="14"/>
      <c r="N71" s="14"/>
      <c r="O71" s="14"/>
      <c r="P71" s="14"/>
      <c r="Q71" s="14"/>
      <c r="R71" s="15"/>
      <c r="S71" s="221"/>
      <c r="T71" s="8"/>
      <c r="U71" s="221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</row>
    <row r="72" spans="1:33" s="72" customFormat="1" ht="18.75" thickBot="1">
      <c r="A72" s="223"/>
      <c r="B72" s="1"/>
      <c r="C72" s="224"/>
      <c r="D72" s="254" t="s">
        <v>18</v>
      </c>
      <c r="E72" s="139"/>
      <c r="F72" s="139"/>
      <c r="G72" s="139"/>
      <c r="H72" s="139"/>
      <c r="I72" s="139"/>
      <c r="J72" s="139"/>
      <c r="K72" s="139"/>
      <c r="L72" s="99">
        <f>L17</f>
        <v>1598.999999999998</v>
      </c>
      <c r="M72" s="139"/>
      <c r="N72" s="139"/>
      <c r="O72" s="139"/>
      <c r="P72" s="139"/>
      <c r="Q72" s="139"/>
      <c r="R72" s="15"/>
      <c r="S72" s="221"/>
      <c r="T72" s="8"/>
      <c r="U72" s="221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</row>
    <row r="73" spans="1:33" s="72" customFormat="1" ht="18.75" thickBot="1">
      <c r="A73" s="223"/>
      <c r="B73" s="1"/>
      <c r="C73" s="224"/>
      <c r="D73" s="14"/>
      <c r="E73" s="14"/>
      <c r="F73" s="14"/>
      <c r="G73" s="14"/>
      <c r="H73" s="14"/>
      <c r="I73" s="14"/>
      <c r="J73" s="14"/>
      <c r="K73" s="14"/>
      <c r="L73" s="37"/>
      <c r="M73" s="14"/>
      <c r="N73" s="14"/>
      <c r="O73" s="23"/>
      <c r="P73" s="23"/>
      <c r="Q73" s="23"/>
      <c r="R73" s="15"/>
      <c r="S73" s="221"/>
      <c r="T73" s="8"/>
      <c r="U73" s="221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</row>
    <row r="74" spans="1:33" s="72" customFormat="1" ht="18.75" thickBot="1">
      <c r="A74" s="223"/>
      <c r="B74" s="1"/>
      <c r="C74" s="224"/>
      <c r="D74" s="141" t="s">
        <v>4</v>
      </c>
      <c r="E74" s="139"/>
      <c r="F74" s="139"/>
      <c r="G74" s="139"/>
      <c r="H74" s="139"/>
      <c r="I74" s="139"/>
      <c r="J74" s="139"/>
      <c r="K74" s="139"/>
      <c r="L74" s="95">
        <f>L14</f>
        <v>6.6</v>
      </c>
      <c r="M74" s="141" t="s">
        <v>2</v>
      </c>
      <c r="N74" s="139"/>
      <c r="O74" s="139"/>
      <c r="P74" s="139"/>
      <c r="Q74" s="139"/>
      <c r="R74" s="15"/>
      <c r="S74" s="221"/>
      <c r="T74" s="8"/>
      <c r="U74" s="221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</row>
    <row r="75" spans="1:33" s="72" customFormat="1" ht="18.75" thickBot="1">
      <c r="A75" s="223"/>
      <c r="B75" s="1"/>
      <c r="C75" s="224"/>
      <c r="D75" s="23"/>
      <c r="E75" s="23"/>
      <c r="F75" s="23"/>
      <c r="G75" s="23"/>
      <c r="H75" s="23"/>
      <c r="I75" s="23"/>
      <c r="J75" s="23"/>
      <c r="K75" s="23"/>
      <c r="L75" s="25"/>
      <c r="M75" s="23"/>
      <c r="N75" s="23"/>
      <c r="O75" s="23"/>
      <c r="P75" s="23"/>
      <c r="Q75" s="23"/>
      <c r="R75" s="15"/>
      <c r="S75" s="221"/>
      <c r="T75" s="8"/>
      <c r="U75" s="221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</row>
    <row r="76" spans="1:33" s="72" customFormat="1" ht="18.75" thickBot="1">
      <c r="A76" s="223"/>
      <c r="B76" s="1"/>
      <c r="C76" s="224"/>
      <c r="D76" s="23" t="s">
        <v>12</v>
      </c>
      <c r="E76" s="139"/>
      <c r="F76" s="139"/>
      <c r="G76" s="139"/>
      <c r="H76" s="139"/>
      <c r="I76" s="139"/>
      <c r="J76" s="139"/>
      <c r="K76" s="139"/>
      <c r="L76" s="142">
        <f>L16</f>
        <v>1</v>
      </c>
      <c r="M76" s="40" t="s">
        <v>13</v>
      </c>
      <c r="N76" s="40"/>
      <c r="O76" s="139"/>
      <c r="P76" s="139"/>
      <c r="Q76" s="139"/>
      <c r="R76" s="15"/>
      <c r="S76" s="221"/>
      <c r="T76" s="8"/>
      <c r="U76" s="221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</row>
    <row r="77" spans="1:33" s="72" customFormat="1" ht="18">
      <c r="A77" s="223"/>
      <c r="B77" s="1"/>
      <c r="C77" s="224"/>
      <c r="D77" s="23"/>
      <c r="E77" s="40" t="s">
        <v>14</v>
      </c>
      <c r="F77" s="139"/>
      <c r="G77" s="139"/>
      <c r="H77" s="139"/>
      <c r="I77" s="14"/>
      <c r="J77" s="14"/>
      <c r="K77" s="14"/>
      <c r="L77" s="37"/>
      <c r="M77" s="14"/>
      <c r="N77" s="14"/>
      <c r="O77" s="14"/>
      <c r="P77" s="14"/>
      <c r="Q77" s="14"/>
      <c r="R77" s="15"/>
      <c r="S77" s="221"/>
      <c r="T77" s="8"/>
      <c r="U77" s="221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</row>
    <row r="78" spans="1:33" s="233" customFormat="1" ht="27" thickBot="1">
      <c r="A78" s="223"/>
      <c r="B78" s="1"/>
      <c r="C78" s="224"/>
      <c r="D78" s="305" t="s">
        <v>110</v>
      </c>
      <c r="E78" s="305"/>
      <c r="F78" s="305"/>
      <c r="G78" s="305"/>
      <c r="H78" s="305"/>
      <c r="I78" s="304"/>
      <c r="J78" s="304"/>
      <c r="K78" s="304"/>
      <c r="L78" s="304"/>
      <c r="M78" s="304"/>
      <c r="N78" s="304"/>
      <c r="O78" s="304"/>
      <c r="P78" s="304"/>
      <c r="Q78" s="304"/>
      <c r="R78" s="306"/>
      <c r="S78" s="221"/>
      <c r="T78" s="8"/>
      <c r="U78" s="221"/>
    </row>
    <row r="79" spans="1:33" s="72" customFormat="1" ht="18.75" thickBot="1">
      <c r="A79" s="223"/>
      <c r="B79" s="1"/>
      <c r="C79" s="224"/>
      <c r="D79" s="138" t="s">
        <v>82</v>
      </c>
      <c r="E79" s="46"/>
      <c r="F79" s="46"/>
      <c r="G79" s="46"/>
      <c r="H79" s="46"/>
      <c r="I79" s="46"/>
      <c r="J79" s="46"/>
      <c r="K79" s="46"/>
      <c r="L79" s="143">
        <f>L72*(100/L74)*(1-(1+L74/100)^(-L76))</f>
        <v>1500.0000000000002</v>
      </c>
      <c r="M79" s="139"/>
      <c r="N79" s="23"/>
      <c r="O79" s="23"/>
      <c r="P79" s="23"/>
      <c r="Q79" s="23"/>
      <c r="R79" s="15"/>
      <c r="S79" s="221"/>
      <c r="T79" s="8"/>
      <c r="U79" s="221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</row>
    <row r="80" spans="1:33" s="72" customFormat="1" ht="18.75" thickBot="1">
      <c r="A80" s="223"/>
      <c r="B80" s="1"/>
      <c r="C80" s="224"/>
      <c r="D80" s="144" t="s">
        <v>81</v>
      </c>
      <c r="E80" s="144"/>
      <c r="F80" s="144"/>
      <c r="G80" s="144"/>
      <c r="H80" s="144"/>
      <c r="I80" s="144"/>
      <c r="J80" s="103"/>
      <c r="K80" s="103"/>
      <c r="L80" s="145">
        <f>L72*(100/L74)*(1-(1+L74/100)^(-L76))+L70</f>
        <v>2500</v>
      </c>
      <c r="M80" s="139"/>
      <c r="N80" s="23"/>
      <c r="O80" s="23"/>
      <c r="P80" s="23"/>
      <c r="Q80" s="23"/>
      <c r="R80" s="15"/>
      <c r="S80" s="221"/>
      <c r="T80" s="8"/>
      <c r="U80" s="221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</row>
    <row r="81" spans="1:33" s="150" customFormat="1" ht="18">
      <c r="A81" s="223"/>
      <c r="B81" s="1"/>
      <c r="C81" s="224"/>
      <c r="D81" s="43" t="s">
        <v>22</v>
      </c>
      <c r="E81" s="146" t="s">
        <v>34</v>
      </c>
      <c r="F81" s="74"/>
      <c r="G81" s="147" t="s">
        <v>104</v>
      </c>
      <c r="H81" s="147"/>
      <c r="I81" s="148"/>
      <c r="J81" s="53" t="s">
        <v>54</v>
      </c>
      <c r="K81" s="54"/>
      <c r="L81" s="54"/>
      <c r="M81" s="56" t="s">
        <v>32</v>
      </c>
      <c r="N81" s="149" t="s">
        <v>74</v>
      </c>
      <c r="P81" s="148"/>
      <c r="Q81" s="148"/>
      <c r="R81" s="151"/>
      <c r="S81" s="221"/>
      <c r="T81" s="8"/>
      <c r="U81" s="221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</row>
    <row r="82" spans="1:33" s="150" customFormat="1" ht="15.75" customHeight="1">
      <c r="A82" s="223"/>
      <c r="B82" s="1"/>
      <c r="C82" s="224"/>
      <c r="D82" s="153"/>
      <c r="E82" s="152" t="s">
        <v>73</v>
      </c>
      <c r="F82" s="11"/>
      <c r="G82" s="11"/>
      <c r="H82" s="11"/>
      <c r="I82" s="153"/>
      <c r="J82" s="61" t="s">
        <v>51</v>
      </c>
      <c r="K82" s="60"/>
      <c r="L82" s="60"/>
      <c r="M82" s="63" t="s">
        <v>32</v>
      </c>
      <c r="N82" s="104">
        <f>L72</f>
        <v>1598.999999999998</v>
      </c>
      <c r="P82" s="148"/>
      <c r="Q82" s="148"/>
      <c r="R82" s="151"/>
      <c r="S82" s="221"/>
      <c r="T82" s="8"/>
      <c r="U82" s="221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</row>
    <row r="83" spans="1:33" s="150" customFormat="1">
      <c r="A83" s="223"/>
      <c r="B83" s="1"/>
      <c r="C83" s="224"/>
      <c r="D83" s="148"/>
      <c r="E83" s="148"/>
      <c r="F83" s="148"/>
      <c r="G83" s="148"/>
      <c r="H83" s="148"/>
      <c r="I83" s="148"/>
      <c r="J83" s="66" t="s">
        <v>52</v>
      </c>
      <c r="K83" s="60"/>
      <c r="L83" s="60"/>
      <c r="M83" s="63" t="s">
        <v>32</v>
      </c>
      <c r="N83" s="67">
        <f>L74/100</f>
        <v>6.6000000000000003E-2</v>
      </c>
      <c r="P83" s="148"/>
      <c r="Q83" s="148"/>
      <c r="R83" s="151"/>
      <c r="S83" s="221"/>
      <c r="T83" s="8"/>
      <c r="U83" s="221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</row>
    <row r="84" spans="1:33" s="150" customFormat="1" ht="22.5" customHeight="1">
      <c r="A84" s="223"/>
      <c r="B84" s="1"/>
      <c r="C84" s="224"/>
      <c r="D84" s="148"/>
      <c r="E84" s="148"/>
      <c r="F84" s="148"/>
      <c r="G84" s="148"/>
      <c r="H84" s="148"/>
      <c r="I84" s="148"/>
      <c r="J84" s="68" t="s">
        <v>87</v>
      </c>
      <c r="K84" s="58"/>
      <c r="L84" s="58"/>
      <c r="M84" s="58"/>
      <c r="N84" s="154">
        <f>L76</f>
        <v>1</v>
      </c>
      <c r="P84" s="148"/>
      <c r="Q84" s="148"/>
      <c r="R84" s="151"/>
      <c r="S84" s="221"/>
      <c r="T84" s="8"/>
      <c r="U84" s="221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</row>
    <row r="85" spans="1:33" ht="15" customHeight="1">
      <c r="A85" s="223"/>
      <c r="K85" s="155" t="str">
        <f>CONCATENATE(" ",-L76)</f>
        <v xml:space="preserve"> -1</v>
      </c>
    </row>
    <row r="86" spans="1:33" s="150" customFormat="1" ht="15" customHeight="1">
      <c r="A86" s="223"/>
      <c r="B86" s="1"/>
      <c r="C86" s="224"/>
      <c r="D86" s="148"/>
      <c r="F86" s="156" t="s">
        <v>77</v>
      </c>
      <c r="G86" s="157">
        <f>L72</f>
        <v>1598.999999999998</v>
      </c>
      <c r="H86" s="157"/>
      <c r="I86" s="84" t="s">
        <v>75</v>
      </c>
      <c r="J86" s="158">
        <f>L74/100</f>
        <v>6.6000000000000003E-2</v>
      </c>
      <c r="K86" s="84" t="s">
        <v>102</v>
      </c>
      <c r="L86" s="159">
        <f>L74/100</f>
        <v>6.6000000000000003E-2</v>
      </c>
      <c r="M86" s="148"/>
      <c r="N86" s="148"/>
      <c r="O86" s="148"/>
      <c r="P86" s="148"/>
      <c r="Q86" s="148"/>
      <c r="R86" s="151"/>
      <c r="S86" s="221"/>
      <c r="T86" s="8"/>
      <c r="U86" s="221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</row>
    <row r="87" spans="1:33" ht="21.75" customHeight="1">
      <c r="A87" s="223"/>
      <c r="K87" s="155" t="str">
        <f>CONCATENATE(" ",-L76)</f>
        <v xml:space="preserve"> -1</v>
      </c>
    </row>
    <row r="88" spans="1:33" s="284" customFormat="1" ht="15.75" customHeight="1">
      <c r="A88" s="260"/>
      <c r="B88" s="261"/>
      <c r="C88" s="332"/>
      <c r="D88" s="275"/>
      <c r="E88" s="275"/>
      <c r="F88" s="276" t="s">
        <v>77</v>
      </c>
      <c r="G88" s="277">
        <f>L72</f>
        <v>1598.999999999998</v>
      </c>
      <c r="H88" s="277"/>
      <c r="I88" s="278" t="s">
        <v>78</v>
      </c>
      <c r="J88" s="279">
        <f>1+L74/100</f>
        <v>1.0660000000000001</v>
      </c>
      <c r="K88" s="278" t="s">
        <v>101</v>
      </c>
      <c r="L88" s="280">
        <f>L74/100</f>
        <v>6.6000000000000003E-2</v>
      </c>
      <c r="M88" s="275"/>
      <c r="N88" s="275"/>
      <c r="O88" s="275"/>
      <c r="P88" s="275"/>
      <c r="Q88" s="275"/>
      <c r="R88" s="281"/>
      <c r="S88" s="262"/>
      <c r="T88" s="282"/>
      <c r="U88" s="262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</row>
    <row r="89" spans="1:33" s="150" customFormat="1">
      <c r="A89" s="223"/>
      <c r="B89" s="1"/>
      <c r="C89" s="224"/>
      <c r="D89" s="148"/>
      <c r="E89" s="148"/>
      <c r="F89" s="156" t="s">
        <v>77</v>
      </c>
      <c r="G89" s="157">
        <f>L72</f>
        <v>1598.999999999998</v>
      </c>
      <c r="H89" s="157"/>
      <c r="I89" s="84" t="s">
        <v>78</v>
      </c>
      <c r="J89" s="160">
        <f>(1+L74/100)^(-L76)</f>
        <v>0.9380863039399624</v>
      </c>
      <c r="K89" s="84" t="s">
        <v>76</v>
      </c>
      <c r="L89" s="159">
        <f>L74/100</f>
        <v>6.6000000000000003E-2</v>
      </c>
      <c r="M89" s="148"/>
      <c r="N89" s="148"/>
      <c r="O89" s="148"/>
      <c r="P89" s="148"/>
      <c r="Q89" s="148"/>
      <c r="R89" s="151"/>
      <c r="S89" s="221"/>
      <c r="T89" s="8"/>
      <c r="U89" s="221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</row>
    <row r="90" spans="1:33" s="150" customFormat="1">
      <c r="A90" s="223"/>
      <c r="B90" s="1"/>
      <c r="C90" s="224"/>
      <c r="D90" s="148"/>
      <c r="E90" s="148"/>
      <c r="F90" s="156" t="s">
        <v>77</v>
      </c>
      <c r="G90" s="157">
        <f>L72</f>
        <v>1598.999999999998</v>
      </c>
      <c r="H90" s="84" t="s">
        <v>79</v>
      </c>
      <c r="I90" s="43">
        <f>1-J89</f>
        <v>6.1913696060037604E-2</v>
      </c>
      <c r="J90" s="161" t="s">
        <v>80</v>
      </c>
      <c r="K90" s="159">
        <f>L74/100</f>
        <v>6.6000000000000003E-2</v>
      </c>
      <c r="L90" s="159"/>
      <c r="M90" s="148"/>
      <c r="N90" s="148"/>
      <c r="O90" s="148"/>
      <c r="P90" s="148"/>
      <c r="Q90" s="148"/>
      <c r="R90" s="151"/>
      <c r="S90" s="221"/>
      <c r="T90" s="8"/>
      <c r="U90" s="221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</row>
    <row r="91" spans="1:33" s="150" customFormat="1">
      <c r="A91" s="223"/>
      <c r="B91" s="1"/>
      <c r="C91" s="224"/>
      <c r="D91" s="148"/>
      <c r="E91" s="148"/>
      <c r="F91" s="156" t="s">
        <v>77</v>
      </c>
      <c r="G91" s="157">
        <f>L72*(1-(1+L74/100)^(-L76))/(L74/100)</f>
        <v>1500</v>
      </c>
      <c r="H91" s="157"/>
      <c r="I91" s="84"/>
      <c r="J91" s="162"/>
      <c r="K91" s="84"/>
      <c r="L91" s="159"/>
      <c r="M91" s="148"/>
      <c r="N91" s="148"/>
      <c r="O91" s="148"/>
      <c r="P91" s="148"/>
      <c r="Q91" s="148"/>
      <c r="R91" s="151"/>
      <c r="S91" s="221"/>
      <c r="T91" s="8"/>
      <c r="U91" s="221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</row>
    <row r="92" spans="1:33" s="150" customFormat="1">
      <c r="A92" s="223"/>
      <c r="B92" s="1"/>
      <c r="C92" s="224"/>
      <c r="D92" s="163" t="s">
        <v>85</v>
      </c>
      <c r="G92" s="157"/>
      <c r="H92" s="157"/>
      <c r="I92" s="84"/>
      <c r="J92" s="164">
        <f>L79</f>
        <v>1500.0000000000002</v>
      </c>
      <c r="K92" s="124" t="s">
        <v>84</v>
      </c>
      <c r="L92" s="165">
        <f>L70</f>
        <v>1000</v>
      </c>
      <c r="M92" s="83" t="s">
        <v>83</v>
      </c>
      <c r="N92" s="166">
        <f>L80</f>
        <v>2500</v>
      </c>
      <c r="O92" s="148"/>
      <c r="P92" s="148"/>
      <c r="Q92" s="148"/>
      <c r="R92" s="151"/>
      <c r="S92" s="221"/>
      <c r="T92" s="8"/>
      <c r="U92" s="221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</row>
    <row r="93" spans="1:33" s="234" customFormat="1" ht="12.75" customHeight="1">
      <c r="A93" s="223"/>
      <c r="B93" s="1"/>
      <c r="C93" s="224"/>
      <c r="D93" s="285"/>
      <c r="G93" s="286"/>
      <c r="H93" s="286"/>
      <c r="I93" s="287"/>
      <c r="J93" s="288"/>
      <c r="K93" s="289"/>
      <c r="L93" s="290"/>
      <c r="M93" s="246"/>
      <c r="N93" s="291"/>
      <c r="O93" s="292"/>
      <c r="P93" s="292"/>
      <c r="Q93" s="292"/>
      <c r="R93" s="293"/>
      <c r="S93" s="221"/>
      <c r="T93" s="8"/>
      <c r="U93" s="221"/>
    </row>
    <row r="94" spans="1:33" s="234" customFormat="1" ht="12" customHeight="1">
      <c r="A94" s="223"/>
      <c r="B94" s="1"/>
      <c r="C94" s="333"/>
      <c r="D94" s="309"/>
      <c r="E94" s="310"/>
      <c r="F94" s="310"/>
      <c r="G94" s="311"/>
      <c r="H94" s="311"/>
      <c r="I94" s="310"/>
      <c r="J94" s="312"/>
      <c r="K94" s="313"/>
      <c r="L94" s="312"/>
      <c r="M94" s="314"/>
      <c r="N94" s="315"/>
      <c r="O94" s="310"/>
      <c r="P94" s="310"/>
      <c r="Q94" s="310"/>
      <c r="R94" s="310"/>
      <c r="S94" s="308"/>
      <c r="T94" s="8"/>
      <c r="U94" s="221"/>
    </row>
    <row r="95" spans="1:33" s="234" customFormat="1" ht="15.75" customHeight="1">
      <c r="A95" s="223"/>
      <c r="B95" s="1"/>
      <c r="C95" s="224"/>
      <c r="D95" s="285"/>
      <c r="G95" s="286"/>
      <c r="H95" s="286"/>
      <c r="I95" s="287"/>
      <c r="J95" s="288"/>
      <c r="K95" s="289"/>
      <c r="L95" s="290"/>
      <c r="M95" s="246"/>
      <c r="N95" s="291"/>
      <c r="O95" s="292"/>
      <c r="P95" s="292"/>
      <c r="Q95" s="292"/>
      <c r="R95" s="293"/>
      <c r="S95" s="221"/>
      <c r="T95" s="8"/>
      <c r="U95" s="221"/>
    </row>
    <row r="96" spans="1:33" s="74" customFormat="1" ht="20.25">
      <c r="A96" s="223"/>
      <c r="B96" s="71"/>
      <c r="C96" s="223"/>
      <c r="D96" s="2" t="s">
        <v>0</v>
      </c>
      <c r="E96" s="167"/>
      <c r="F96" s="87"/>
      <c r="G96" s="72"/>
      <c r="H96" s="72"/>
      <c r="I96" s="72"/>
      <c r="J96" s="72"/>
      <c r="K96" s="72"/>
      <c r="L96" s="72"/>
      <c r="M96" s="72"/>
      <c r="N96" s="72"/>
      <c r="R96" s="75"/>
      <c r="S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</row>
    <row r="97" spans="1:33" s="74" customFormat="1" ht="21" thickBot="1">
      <c r="A97" s="223"/>
      <c r="B97" s="71"/>
      <c r="C97" s="223"/>
      <c r="D97" s="2" t="s">
        <v>1</v>
      </c>
      <c r="E97" s="14"/>
      <c r="F97" s="87"/>
      <c r="G97" s="72"/>
      <c r="H97" s="72"/>
      <c r="I97" s="72"/>
      <c r="J97" s="72"/>
      <c r="K97" s="72"/>
      <c r="N97" s="146"/>
      <c r="R97" s="168"/>
      <c r="S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</row>
    <row r="98" spans="1:33" ht="18">
      <c r="A98" s="223"/>
      <c r="D98" s="19" t="s">
        <v>90</v>
      </c>
      <c r="E98" s="19"/>
      <c r="F98" s="19"/>
      <c r="G98" s="19"/>
      <c r="H98" s="19"/>
      <c r="I98" s="19"/>
      <c r="J98" s="169" t="s">
        <v>91</v>
      </c>
      <c r="K98" s="19"/>
      <c r="L98" s="18"/>
      <c r="M98" s="19"/>
      <c r="N98" s="19"/>
      <c r="O98" s="19"/>
      <c r="P98" s="19"/>
      <c r="Q98" s="19"/>
      <c r="R98" s="20"/>
    </row>
    <row r="99" spans="1:33" ht="18">
      <c r="A99" s="223"/>
      <c r="D99" s="14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24"/>
    </row>
    <row r="100" spans="1:33" s="120" customFormat="1" ht="18.75" customHeight="1" thickBot="1">
      <c r="A100" s="223"/>
      <c r="B100" s="1"/>
      <c r="C100" s="224"/>
      <c r="D100" s="170" t="s">
        <v>9</v>
      </c>
      <c r="E100" s="84"/>
      <c r="F100" s="84"/>
      <c r="G100" s="84"/>
      <c r="H100" s="84"/>
      <c r="I100" s="84"/>
      <c r="J100" s="84"/>
      <c r="K100" s="84"/>
      <c r="L100" s="171">
        <f>L10</f>
        <v>2500</v>
      </c>
      <c r="M100" s="84"/>
      <c r="N100" s="84"/>
      <c r="O100" s="84"/>
      <c r="P100" s="84"/>
      <c r="Q100" s="84"/>
      <c r="R100" s="24"/>
      <c r="S100" s="221"/>
      <c r="T100" s="8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32"/>
      <c r="AE100" s="232"/>
      <c r="AF100" s="232"/>
      <c r="AG100" s="232"/>
    </row>
    <row r="101" spans="1:33" ht="9.75" customHeight="1" thickBot="1">
      <c r="A101" s="223"/>
      <c r="D101" s="14"/>
      <c r="E101" s="14"/>
      <c r="F101" s="14"/>
      <c r="G101" s="14"/>
      <c r="H101" s="14"/>
      <c r="I101" s="14"/>
      <c r="J101" s="14"/>
      <c r="K101" s="14"/>
      <c r="L101" s="37"/>
      <c r="M101" s="14"/>
      <c r="N101" s="14"/>
      <c r="O101" s="14"/>
      <c r="P101" s="14"/>
      <c r="Q101" s="14"/>
      <c r="R101" s="44"/>
    </row>
    <row r="102" spans="1:33" ht="18.75" thickBot="1">
      <c r="A102" s="223"/>
      <c r="D102" s="329" t="s">
        <v>10</v>
      </c>
      <c r="E102" s="23"/>
      <c r="F102" s="23"/>
      <c r="G102" s="23"/>
      <c r="H102" s="23"/>
      <c r="I102" s="23"/>
      <c r="J102" s="172"/>
      <c r="K102" s="23"/>
      <c r="L102" s="173">
        <f>L12</f>
        <v>1000</v>
      </c>
      <c r="M102" s="84"/>
      <c r="N102" s="84"/>
      <c r="O102" s="23"/>
      <c r="P102" s="23"/>
      <c r="Q102" s="23"/>
      <c r="R102" s="44"/>
    </row>
    <row r="103" spans="1:33" ht="9" customHeight="1" thickBot="1">
      <c r="A103" s="223"/>
      <c r="D103" s="174"/>
      <c r="E103" s="14"/>
      <c r="F103" s="14"/>
      <c r="G103" s="14"/>
      <c r="H103" s="14"/>
      <c r="I103" s="14"/>
      <c r="J103" s="14"/>
      <c r="K103" s="14"/>
      <c r="L103" s="37"/>
      <c r="M103" s="174"/>
      <c r="N103" s="174"/>
      <c r="O103" s="23"/>
      <c r="P103" s="23"/>
      <c r="Q103" s="23"/>
      <c r="R103" s="44"/>
    </row>
    <row r="104" spans="1:33" ht="18.75" thickBot="1">
      <c r="A104" s="223"/>
      <c r="D104" s="175" t="s">
        <v>11</v>
      </c>
      <c r="E104" s="23"/>
      <c r="F104" s="23"/>
      <c r="G104" s="23"/>
      <c r="H104" s="23"/>
      <c r="I104" s="23"/>
      <c r="J104" s="23"/>
      <c r="K104" s="23"/>
      <c r="L104" s="96">
        <v>1600</v>
      </c>
      <c r="M104" s="175" t="s">
        <v>6</v>
      </c>
      <c r="N104" s="84"/>
      <c r="O104" s="23"/>
      <c r="P104" s="23"/>
      <c r="Q104" s="23"/>
      <c r="R104" s="44"/>
    </row>
    <row r="105" spans="1:33" ht="8.25" customHeight="1" thickBot="1">
      <c r="A105" s="223"/>
      <c r="D105" s="84"/>
      <c r="E105" s="23"/>
      <c r="F105" s="23"/>
      <c r="G105" s="23"/>
      <c r="H105" s="23"/>
      <c r="I105" s="23"/>
      <c r="J105" s="23"/>
      <c r="K105" s="23"/>
      <c r="L105" s="25"/>
      <c r="M105" s="84"/>
      <c r="N105" s="84"/>
      <c r="O105" s="23"/>
      <c r="P105" s="23"/>
      <c r="Q105" s="23"/>
      <c r="R105" s="44"/>
    </row>
    <row r="106" spans="1:33" ht="18.75" thickBot="1">
      <c r="A106" s="223"/>
      <c r="D106" s="39" t="s">
        <v>12</v>
      </c>
      <c r="E106" s="40"/>
      <c r="F106" s="40"/>
      <c r="G106" s="40"/>
      <c r="H106" s="40"/>
      <c r="I106" s="40"/>
      <c r="J106" s="40"/>
      <c r="K106" s="40"/>
      <c r="L106" s="142">
        <v>2</v>
      </c>
      <c r="M106" s="39" t="s">
        <v>13</v>
      </c>
      <c r="N106" s="39"/>
      <c r="O106" s="40"/>
      <c r="P106" s="40"/>
      <c r="Q106" s="40"/>
      <c r="R106" s="44"/>
    </row>
    <row r="107" spans="1:33" ht="18.75" thickBot="1">
      <c r="A107" s="223"/>
      <c r="D107" s="39"/>
      <c r="E107" s="39" t="s">
        <v>14</v>
      </c>
      <c r="F107" s="40"/>
      <c r="G107" s="40"/>
      <c r="H107" s="40"/>
      <c r="I107" s="40"/>
      <c r="J107" s="40"/>
      <c r="K107" s="40"/>
      <c r="L107" s="176"/>
      <c r="M107" s="39"/>
      <c r="N107" s="39"/>
      <c r="O107" s="40"/>
      <c r="P107" s="40"/>
      <c r="Q107" s="40"/>
      <c r="R107" s="44"/>
    </row>
    <row r="108" spans="1:33" ht="18.75" thickBot="1">
      <c r="A108" s="223"/>
      <c r="D108" s="330" t="s">
        <v>15</v>
      </c>
      <c r="E108" s="46"/>
      <c r="F108" s="46"/>
      <c r="G108" s="46"/>
      <c r="H108" s="46"/>
      <c r="I108" s="46"/>
      <c r="J108" s="46"/>
      <c r="K108" s="46"/>
      <c r="L108" s="177">
        <f>RATE(L106,L104,-L100+L102,,0)</f>
        <v>0.69570638494418002</v>
      </c>
      <c r="M108" s="178" t="s">
        <v>16</v>
      </c>
      <c r="N108" s="179"/>
      <c r="O108" s="100"/>
      <c r="P108" s="100"/>
      <c r="Q108" s="100"/>
      <c r="R108" s="92"/>
    </row>
    <row r="109" spans="1:33" s="219" customFormat="1" ht="23.25">
      <c r="A109" s="223"/>
      <c r="B109" s="1"/>
      <c r="C109" s="224"/>
      <c r="D109" s="337" t="s">
        <v>111</v>
      </c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6"/>
      <c r="S109" s="221"/>
      <c r="T109" s="8"/>
      <c r="U109" s="221"/>
      <c r="V109" s="221"/>
      <c r="W109" s="221"/>
      <c r="X109" s="221"/>
      <c r="Y109" s="221"/>
      <c r="Z109" s="221"/>
      <c r="AA109" s="221"/>
      <c r="AB109" s="221"/>
      <c r="AC109" s="221"/>
    </row>
    <row r="110" spans="1:33" ht="20.25" customHeight="1"/>
    <row r="111" spans="1:33" ht="13.5" customHeight="1">
      <c r="A111" s="223"/>
      <c r="D111" s="74" t="s">
        <v>22</v>
      </c>
      <c r="E111" s="146" t="s">
        <v>34</v>
      </c>
      <c r="F111" s="74"/>
      <c r="G111" s="255"/>
      <c r="H111" s="180"/>
      <c r="I111" s="181" t="s">
        <v>93</v>
      </c>
      <c r="J111" s="60"/>
      <c r="K111" s="60"/>
      <c r="L111" s="62"/>
      <c r="M111" s="56" t="s">
        <v>32</v>
      </c>
      <c r="N111" s="182">
        <f>L100-L102</f>
        <v>1500</v>
      </c>
      <c r="O111" s="17"/>
      <c r="P111" s="17"/>
      <c r="Q111" s="17"/>
      <c r="R111" s="15"/>
    </row>
    <row r="112" spans="1:33" ht="21" customHeight="1">
      <c r="A112" s="223"/>
      <c r="D112" s="153"/>
      <c r="E112" s="256" t="s">
        <v>99</v>
      </c>
      <c r="F112" s="257"/>
      <c r="G112" s="257"/>
      <c r="H112" s="258"/>
      <c r="I112" s="61" t="s">
        <v>51</v>
      </c>
      <c r="J112" s="60"/>
      <c r="K112" s="60"/>
      <c r="L112" s="62"/>
      <c r="M112" s="63" t="s">
        <v>32</v>
      </c>
      <c r="N112" s="183">
        <f>L104</f>
        <v>1600</v>
      </c>
      <c r="R112" s="7"/>
      <c r="S112" s="219"/>
      <c r="T112" s="7"/>
      <c r="U112" s="219"/>
    </row>
    <row r="113" spans="1:33">
      <c r="A113" s="223"/>
      <c r="D113" s="88" t="s">
        <v>23</v>
      </c>
      <c r="E113" s="184"/>
      <c r="F113" s="88"/>
      <c r="G113" s="259"/>
      <c r="H113" s="185"/>
      <c r="I113" s="66" t="s">
        <v>52</v>
      </c>
      <c r="J113" s="60"/>
      <c r="K113" s="60"/>
      <c r="L113" s="62"/>
      <c r="M113" s="63" t="s">
        <v>32</v>
      </c>
      <c r="N113" s="186" t="s">
        <v>92</v>
      </c>
      <c r="R113" s="7"/>
      <c r="S113" s="219"/>
      <c r="T113" s="7"/>
      <c r="U113" s="219"/>
    </row>
    <row r="114" spans="1:33" s="271" customFormat="1" ht="16.5" customHeight="1">
      <c r="A114" s="263"/>
      <c r="B114" s="264"/>
      <c r="C114" s="334"/>
      <c r="D114" s="274" t="s">
        <v>100</v>
      </c>
      <c r="E114" s="265"/>
      <c r="F114" s="266"/>
      <c r="G114" s="266"/>
      <c r="H114" s="267"/>
      <c r="I114" s="268" t="s">
        <v>53</v>
      </c>
      <c r="J114" s="269"/>
      <c r="K114" s="269"/>
      <c r="L114" s="269"/>
      <c r="M114" s="270" t="s">
        <v>32</v>
      </c>
      <c r="N114" s="109">
        <f>L106</f>
        <v>2</v>
      </c>
      <c r="S114" s="272"/>
      <c r="U114" s="272"/>
      <c r="V114" s="273"/>
      <c r="W114" s="273"/>
      <c r="X114" s="273"/>
      <c r="Y114" s="273"/>
      <c r="Z114" s="273"/>
      <c r="AA114" s="273"/>
      <c r="AB114" s="273"/>
      <c r="AC114" s="273"/>
      <c r="AD114" s="272"/>
      <c r="AE114" s="272"/>
      <c r="AF114" s="272"/>
      <c r="AG114" s="272"/>
    </row>
    <row r="115" spans="1:33">
      <c r="A115" s="223"/>
      <c r="J115" s="187">
        <f>-L106</f>
        <v>-2</v>
      </c>
      <c r="K115" s="7" t="str">
        <f xml:space="preserve"> IF(L106&gt;=3," A equação resultante poderá ser resolvida por algum","")</f>
        <v/>
      </c>
      <c r="R115" s="7"/>
      <c r="S115" s="219"/>
      <c r="T115" s="7"/>
      <c r="U115" s="219"/>
    </row>
    <row r="116" spans="1:33" ht="13.5" customHeight="1">
      <c r="A116" s="223"/>
      <c r="D116" s="74" t="s">
        <v>24</v>
      </c>
      <c r="E116" s="188">
        <f>L100-L102</f>
        <v>1500</v>
      </c>
      <c r="F116" s="189" t="s">
        <v>27</v>
      </c>
      <c r="G116" s="190">
        <f>L104</f>
        <v>1600</v>
      </c>
      <c r="H116" s="191" t="s">
        <v>83</v>
      </c>
      <c r="I116" s="192" t="s">
        <v>94</v>
      </c>
      <c r="J116" s="193"/>
      <c r="K116" s="7" t="str">
        <f xml:space="preserve"> IF(L106&gt;=3,"método numérico,  por tentativa ou com tabelas financeiras","")</f>
        <v/>
      </c>
      <c r="R116" s="7"/>
      <c r="S116" s="219"/>
      <c r="T116" s="7"/>
      <c r="U116" s="219"/>
    </row>
    <row r="117" spans="1:33" ht="13.5" customHeight="1" thickBot="1">
      <c r="A117" s="223"/>
      <c r="D117" s="194" t="str">
        <f>IF(L106=2,"Quando o número de parcelas é 2 A equação (3)  ficará de grau  2, e pode ser resolvida pela forma de Báskara, após alguma operações","")</f>
        <v>Quando o número de parcelas é 2 A equação (3)  ficará de grau  2, e pode ser resolvida pela forma de Báskara, após alguma operações</v>
      </c>
      <c r="E117" s="188"/>
      <c r="F117" s="189"/>
      <c r="G117" s="190"/>
      <c r="H117" s="191"/>
      <c r="I117" s="192"/>
      <c r="J117" s="193"/>
      <c r="R117" s="7"/>
      <c r="S117" s="219"/>
      <c r="T117" s="7"/>
      <c r="U117" s="219"/>
    </row>
    <row r="118" spans="1:33" ht="20.25" customHeight="1" thickBot="1">
      <c r="A118" s="223"/>
      <c r="D118" s="331" t="s">
        <v>98</v>
      </c>
      <c r="E118" s="195" t="s">
        <v>97</v>
      </c>
      <c r="H118" s="30"/>
      <c r="J118" s="187">
        <f>-L106</f>
        <v>-2</v>
      </c>
      <c r="R118" s="7"/>
      <c r="S118" s="219"/>
      <c r="T118" s="7"/>
      <c r="U118" s="219"/>
    </row>
    <row r="119" spans="1:33" ht="16.5" customHeight="1">
      <c r="A119" s="223"/>
      <c r="F119" s="196" t="s">
        <v>95</v>
      </c>
      <c r="G119" s="197">
        <f>TRUNC(E116/G116*100000)/100000</f>
        <v>0.9375</v>
      </c>
      <c r="H119" s="198" t="s">
        <v>56</v>
      </c>
      <c r="I119" s="192" t="s">
        <v>96</v>
      </c>
      <c r="J119" s="193"/>
      <c r="K119" s="199" t="str">
        <f>IF(L106&lt;=2," Multiplicando ambos os membros por i "," Resolver a equação da esquerda é o mesmo que ")</f>
        <v xml:space="preserve"> Multiplicando ambos os membros por i </v>
      </c>
      <c r="R119" s="7"/>
      <c r="S119" s="219"/>
      <c r="T119" s="7"/>
      <c r="U119" s="219"/>
    </row>
    <row r="120" spans="1:33">
      <c r="A120" s="223"/>
      <c r="G120" s="200" t="str">
        <f>IF(L106&lt;3,CONCATENATE("   ",-L106,),"")</f>
        <v xml:space="preserve">   -2</v>
      </c>
      <c r="I120" s="199" t="str">
        <f>IF(L106&gt;2,"encontrar a raíz positiva de f(i) ","")</f>
        <v/>
      </c>
      <c r="L120" s="201" t="str">
        <f>IF(L106=2,CONCATENATE("     ",N114),"")</f>
        <v xml:space="preserve">     2</v>
      </c>
      <c r="R120" s="7"/>
      <c r="S120" s="219"/>
      <c r="T120" s="7"/>
      <c r="U120" s="219"/>
    </row>
    <row r="121" spans="1:33" ht="15.75" customHeight="1">
      <c r="A121" s="223"/>
      <c r="E121" s="202" t="str">
        <f>IF(L106&lt;=2,CONCATENATE(TRUNC(100000*G119)/100000, " i  -  [ 1 -  (1 +  i )  ]  = 0 "),"")</f>
        <v xml:space="preserve">0,9375 i  -  [ 1 -  (1 +  i )  ]  = 0 </v>
      </c>
      <c r="I121" s="199" t="str">
        <f>IF(L106&lt;=2,"Multuplicando ambos os membros por (1+i  )   ",CONCATENATE("onde f(i)=", G119," -  [1-(1+i )^(-3) ] / i.    Escolha um Método"))</f>
        <v xml:space="preserve">Multuplicando ambos os membros por (1+i  )   </v>
      </c>
      <c r="R121" s="7"/>
      <c r="S121" s="219"/>
      <c r="T121" s="7"/>
      <c r="U121" s="219"/>
    </row>
    <row r="122" spans="1:33" ht="18.75">
      <c r="A122" s="223"/>
      <c r="E122" s="203"/>
      <c r="F122" s="204">
        <f>IF(L106=2,N114,"")</f>
        <v>2</v>
      </c>
      <c r="G122" s="205">
        <f>IF(L106=2,N114,"")</f>
        <v>2</v>
      </c>
      <c r="R122" s="7"/>
      <c r="S122" s="219"/>
      <c r="T122" s="7"/>
      <c r="U122" s="219"/>
    </row>
    <row r="123" spans="1:33" ht="15" customHeight="1">
      <c r="A123" s="223"/>
      <c r="E123" s="202" t="str">
        <f>IF(L106&lt;=2,CONCATENATE(TRUNC(100000*G119)/100000, "(1+i) i  - [ (1+i) - 1  ] = 0 "),"")</f>
        <v xml:space="preserve">0,9375(1+i) i  - [ (1+i) - 1  ] = 0 </v>
      </c>
      <c r="J123" s="199" t="str">
        <f>IF(L106=2,"Desenvolvedo os quadrados das somas de (1+ i) temos ",IF(L106=1,"Efetuando as multiplicações temos e deixanto todos os termos",""))</f>
        <v xml:space="preserve">Desenvolvedo os quadrados das somas de (1+ i) temos </v>
      </c>
      <c r="R123" s="7"/>
      <c r="S123" s="219"/>
      <c r="T123" s="7"/>
      <c r="U123" s="219"/>
    </row>
    <row r="124" spans="1:33">
      <c r="A124" s="223"/>
      <c r="E124" s="202"/>
      <c r="H124" s="206" t="str">
        <f>IF(  L106=2,"2    ",IF(L106=1,"2   ", ""))</f>
        <v xml:space="preserve">2    </v>
      </c>
      <c r="J124" s="207" t="str">
        <f>IF(L106=2,"           2 ",IF(L106=1, " no primeiro membro", ""))</f>
        <v xml:space="preserve">           2 </v>
      </c>
      <c r="R124" s="7"/>
      <c r="S124" s="219"/>
      <c r="T124" s="7"/>
      <c r="U124" s="219"/>
    </row>
    <row r="125" spans="1:33" ht="15" customHeight="1">
      <c r="A125" s="223"/>
      <c r="E125" s="203" t="str">
        <f>IF(L106=2,CONCATENATE(TRUNC(100000*G119)/100000,"( 1  +  2i   +   i   ) i  -  [ (1 + 2i  +  i   )  -  1 ] = 0"), IF(L106=1,CONCATENATE(G119,"i     +    ",G119,"i   -   i    = 0",),""))</f>
        <v>0,9375( 1  +  2i   +   i   ) i  -  [ (1 + 2i  +  i   )  -  1 ] = 0</v>
      </c>
      <c r="L125" s="208"/>
      <c r="M125" s="209" t="str">
        <f>IF(L106=1,"Dividindo tudo por i","")</f>
        <v/>
      </c>
      <c r="R125" s="7"/>
      <c r="S125" s="219"/>
      <c r="T125" s="7"/>
      <c r="U125" s="219"/>
    </row>
    <row r="126" spans="1:33" s="210" customFormat="1" ht="18.75">
      <c r="A126" s="223"/>
      <c r="C126" s="335"/>
      <c r="E126" s="203"/>
      <c r="G126" s="211" t="str">
        <f>IF(L106=2,CONCATENATE(N114,"            "),"")</f>
        <v xml:space="preserve">2            </v>
      </c>
      <c r="I126" s="212" t="str">
        <f>IF(L106=2,"3","")</f>
        <v>3</v>
      </c>
      <c r="J126" s="212">
        <f>IF(L106=2,N114,"")</f>
        <v>2</v>
      </c>
      <c r="L126" s="7" t="str">
        <f>IF(L106=2,"e deixanto todos os termos no  1º membro ","")</f>
        <v xml:space="preserve">e deixanto todos os termos no  1º membro </v>
      </c>
      <c r="S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</row>
    <row r="127" spans="1:33" ht="12.75" customHeight="1">
      <c r="A127" s="223"/>
      <c r="D127" s="17"/>
      <c r="E127" s="84" t="str">
        <f>IF(L106=2,CONCATENATE(TRUNC(100000*G119)/100000,"i  +  ",TRUNC(2*100000*G119)/100000, " i  +  ", TRUNC(100000*G119)/100000,"i   ","  -  2i  -  i  = 0"),IF(L106=1,CONCATENATE(G119,"  +  ",G119,"i   -  1 = 0 "),""))</f>
        <v>0,9375i  +  1,875 i  +  0,9375i     -  2i  -  i  = 0</v>
      </c>
      <c r="F127" s="17"/>
      <c r="G127" s="17"/>
      <c r="H127" s="17"/>
      <c r="K127" s="79" t="str">
        <f>IF(L106=2," Juntando os termos semelhantes e dividindo todos os termos por i temos",IF(L106=1,CONCATENATE(G119,"i   =   1  -   ",G119),""))</f>
        <v xml:space="preserve"> Juntando os termos semelhantes e dividindo todos os termos por i temos</v>
      </c>
      <c r="L127" s="17"/>
      <c r="M127" s="17"/>
      <c r="N127" s="17"/>
      <c r="O127" s="17"/>
      <c r="P127" s="17"/>
      <c r="Q127" s="17"/>
      <c r="R127" s="15"/>
    </row>
    <row r="128" spans="1:33" ht="18">
      <c r="A128" s="223"/>
      <c r="D128" s="17"/>
      <c r="E128" s="17"/>
      <c r="F128" s="81" t="str">
        <f>IF(L106=2,"2","")</f>
        <v>2</v>
      </c>
      <c r="G128" s="17"/>
      <c r="H128" s="17"/>
      <c r="I128" s="17"/>
      <c r="J128" s="213"/>
      <c r="K128" s="79" t="str">
        <f>IF(L106=1,CONCATENATE("i= ", 1-G119," / ",G119),"")</f>
        <v/>
      </c>
      <c r="L128" s="17"/>
      <c r="M128" s="17"/>
      <c r="N128" s="214" t="str">
        <f>IF(L106=2,"2","")</f>
        <v>2</v>
      </c>
      <c r="P128" s="17"/>
      <c r="Q128" s="17"/>
      <c r="R128" s="15"/>
    </row>
    <row r="129" spans="1:33" s="215" customFormat="1" ht="15.75" customHeight="1">
      <c r="A129" s="223"/>
      <c r="C129" s="336"/>
      <c r="D129" s="23"/>
      <c r="E129" s="23" t="str">
        <f>IF(L106=2,CONCATENATE(G119,"i    +    ",2*G119-1,"i      ",G119-2,"=0" ),"")</f>
        <v>0,9375i    +    0,875i      -1,0625=0</v>
      </c>
      <c r="F129" s="23"/>
      <c r="G129" s="23"/>
      <c r="H129" s="23"/>
      <c r="I129" s="23"/>
      <c r="J129" s="23"/>
      <c r="K129" s="79" t="str">
        <f>IF(L106=1,CONCATENATE("i  =  ", TRUNC( 100000*(1-G119) / G119)/100000 ),"")</f>
        <v/>
      </c>
      <c r="L129" s="23"/>
      <c r="M129" s="23"/>
      <c r="N129" s="23"/>
      <c r="O129" s="23"/>
      <c r="P129" s="23"/>
      <c r="Q129" s="23"/>
      <c r="R129" s="23"/>
      <c r="S129" s="226"/>
      <c r="T129" s="210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7"/>
      <c r="AE129" s="227"/>
      <c r="AF129" s="227"/>
      <c r="AG129" s="227"/>
    </row>
    <row r="130" spans="1:33" ht="18">
      <c r="A130" s="223"/>
      <c r="D130" s="17"/>
      <c r="F130" s="17"/>
      <c r="G130" s="17"/>
      <c r="H130" s="17"/>
      <c r="I130" s="17"/>
      <c r="J130" s="17"/>
      <c r="K130" s="79" t="str">
        <f>IF(L106=1,CONCATENATE("i  =  ", TRUNC( 100000*(1-G119) / G119)/100000,"x 100"),"")</f>
        <v/>
      </c>
      <c r="L130" s="17"/>
      <c r="M130" s="17"/>
      <c r="N130" s="17"/>
      <c r="O130" s="17"/>
      <c r="P130" s="17"/>
      <c r="Q130" s="17"/>
      <c r="R130" s="15"/>
    </row>
    <row r="131" spans="1:33" ht="18">
      <c r="A131" s="223"/>
      <c r="D131" s="17"/>
      <c r="E131" s="216" t="str">
        <f>IF(L106=2,CONCATENATE(" onde  x = i ;  a = ",G119,"  b = ",2*G119-1," e   c = ",G119-2),"")</f>
        <v xml:space="preserve"> onde  x = i ;  a = 0,9375  b = 0,875 e   c = -1,0625</v>
      </c>
      <c r="K131" s="217" t="str">
        <f>IF(L106=1,CONCATENATE("i  =  ", TRUNC( 100000*(1-G119) / G119)/100000*100),"")</f>
        <v/>
      </c>
      <c r="L131" s="199" t="str">
        <f xml:space="preserve"> IF(L106=1,"%","")</f>
        <v/>
      </c>
      <c r="O131" s="17"/>
      <c r="P131" s="17"/>
      <c r="Q131" s="17"/>
      <c r="R131" s="15"/>
    </row>
    <row r="132" spans="1:33" s="215" customFormat="1" ht="18">
      <c r="A132" s="223"/>
      <c r="C132" s="336"/>
      <c r="D132" s="23"/>
      <c r="E132" s="216" t="str">
        <f>IF(L106=2,CONCATENATE("x=(-b+(b^2-4*a*c)^(1/2))/(2*a)" ),"")</f>
        <v>x=(-b+(b^2-4*a*c)^(1/2))/(2*a)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26"/>
      <c r="T132" s="210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7"/>
      <c r="AE132" s="227"/>
      <c r="AF132" s="227"/>
      <c r="AG132" s="227"/>
    </row>
    <row r="133" spans="1:33" s="215" customFormat="1" ht="18">
      <c r="A133" s="223"/>
      <c r="C133" s="336"/>
      <c r="D133" s="23"/>
      <c r="E133" s="216" t="str">
        <f>IF(L106=2,CONCATENATE("i = (   - ",G119*2-1,"  +   (    ", G119*2-1," ^ 2  -   4 * ", G119, " * (",G119-2,")      ) ^ (1/2)      )    /    (  2 * ", G119,"  )" ),"")</f>
        <v>i = (   - 0,875  +   (    0,875 ^ 2  -   4 * 0,9375 * (-1,0625)      ) ^ (1/2)      )    /    (  2 * 0,9375  )</v>
      </c>
      <c r="O133" s="23"/>
      <c r="P133" s="23"/>
      <c r="Q133" s="23"/>
      <c r="R133" s="23"/>
      <c r="S133" s="226"/>
      <c r="T133" s="210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7"/>
      <c r="AE133" s="227"/>
      <c r="AF133" s="227"/>
      <c r="AG133" s="227"/>
    </row>
    <row r="134" spans="1:33" ht="18">
      <c r="A134" s="223"/>
      <c r="D134" s="23"/>
      <c r="F134" s="84" t="str">
        <f>IF(L106=2,"i = ","")</f>
        <v xml:space="preserve">i = </v>
      </c>
      <c r="G134" s="218">
        <f>IF(L106=2,(-1*(G119*2-1) + ( (G119*2-1)^2-4*G119*(-2+G119)   )^(1/2)    )  /  (2*G119),"")</f>
        <v>0.69570638494417969</v>
      </c>
      <c r="H134" s="216" t="str">
        <f>IF(L106=2,CONCATENATE("&lt;= taxa unitária . Em taxa porcentual temos 100x",TRUNC(100000*G134)/100000," = ", 100*TRUNC(100000*G134)/100000,"%"), "")</f>
        <v>&lt;= taxa unitária . Em taxa porcentual temos 100x0,6957 = 69,57%</v>
      </c>
      <c r="I134" s="17"/>
      <c r="J134" s="17"/>
      <c r="K134" s="17"/>
      <c r="L134" s="17"/>
      <c r="N134" s="17"/>
      <c r="O134" s="17"/>
      <c r="P134" s="17"/>
      <c r="Q134" s="17"/>
      <c r="R134" s="15"/>
    </row>
    <row r="136" spans="1:33" ht="26.25">
      <c r="D136" s="338" t="s">
        <v>112</v>
      </c>
    </row>
    <row r="137" spans="1:33">
      <c r="E137" s="307" t="s">
        <v>113</v>
      </c>
    </row>
    <row r="139" spans="1:33">
      <c r="A139" s="223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20"/>
    </row>
    <row r="140" spans="1:33">
      <c r="A140" s="223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20"/>
    </row>
    <row r="141" spans="1:33">
      <c r="A141" s="223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20"/>
    </row>
    <row r="142" spans="1:33">
      <c r="A142" s="223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20"/>
    </row>
    <row r="143" spans="1:33">
      <c r="A143" s="223"/>
      <c r="H143" s="208" t="s">
        <v>105</v>
      </c>
      <c r="J143" s="341" t="s">
        <v>106</v>
      </c>
      <c r="K143" s="341"/>
      <c r="L143" s="341"/>
      <c r="M143" s="341"/>
      <c r="N143" s="341"/>
      <c r="O143" s="341"/>
      <c r="P143" s="341"/>
    </row>
    <row r="144" spans="1:33">
      <c r="A144" s="223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20"/>
    </row>
    <row r="145" spans="1:18">
      <c r="A145" s="223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20"/>
    </row>
    <row r="146" spans="1:18">
      <c r="A146" s="223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20"/>
    </row>
    <row r="147" spans="1:18">
      <c r="A147" s="223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20"/>
    </row>
    <row r="148" spans="1:18">
      <c r="A148" s="223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20"/>
    </row>
    <row r="149" spans="1:18">
      <c r="A149" s="223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20"/>
    </row>
    <row r="150" spans="1:18">
      <c r="A150" s="223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20"/>
    </row>
    <row r="151" spans="1:18">
      <c r="A151" s="223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20"/>
    </row>
    <row r="152" spans="1:18">
      <c r="A152" s="223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20"/>
    </row>
    <row r="153" spans="1:18">
      <c r="A153" s="223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20"/>
    </row>
    <row r="154" spans="1:18">
      <c r="A154" s="223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20"/>
    </row>
    <row r="155" spans="1:18">
      <c r="A155" s="223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20"/>
    </row>
    <row r="156" spans="1:18">
      <c r="A156" s="223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20"/>
    </row>
    <row r="157" spans="1:18">
      <c r="A157" s="223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20"/>
    </row>
    <row r="158" spans="1:18">
      <c r="A158" s="223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20"/>
    </row>
    <row r="159" spans="1:18">
      <c r="A159" s="223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20"/>
    </row>
    <row r="160" spans="1:18">
      <c r="A160" s="223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20"/>
    </row>
    <row r="161" spans="1:18">
      <c r="A161" s="223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20"/>
    </row>
    <row r="162" spans="1:18">
      <c r="A162" s="223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20"/>
    </row>
    <row r="163" spans="1:18">
      <c r="A163" s="223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20"/>
    </row>
    <row r="164" spans="1:18">
      <c r="A164" s="223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20"/>
    </row>
    <row r="165" spans="1:18">
      <c r="A165" s="223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20"/>
    </row>
    <row r="166" spans="1:18">
      <c r="A166" s="223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20"/>
    </row>
    <row r="167" spans="1:18">
      <c r="A167" s="223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20"/>
    </row>
    <row r="168" spans="1:18">
      <c r="A168" s="223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20"/>
    </row>
    <row r="169" spans="1:18">
      <c r="A169" s="223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20"/>
    </row>
    <row r="170" spans="1:18">
      <c r="A170" s="223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20"/>
    </row>
    <row r="171" spans="1:18">
      <c r="A171" s="223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20"/>
    </row>
    <row r="172" spans="1:18">
      <c r="A172" s="223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20"/>
    </row>
    <row r="173" spans="1:18">
      <c r="A173" s="223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20"/>
    </row>
    <row r="174" spans="1:18">
      <c r="A174" s="223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20"/>
    </row>
    <row r="175" spans="1:18">
      <c r="A175" s="223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20"/>
    </row>
    <row r="176" spans="1:18">
      <c r="A176" s="223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20"/>
    </row>
    <row r="177" spans="1:18">
      <c r="A177" s="223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20"/>
    </row>
    <row r="178" spans="1:18">
      <c r="A178" s="223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20"/>
    </row>
    <row r="179" spans="1:18">
      <c r="A179" s="223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</row>
    <row r="180" spans="1:18">
      <c r="A180" s="223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20"/>
    </row>
    <row r="181" spans="1:18">
      <c r="A181" s="223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20"/>
    </row>
    <row r="182" spans="1:18">
      <c r="A182" s="223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20"/>
    </row>
    <row r="183" spans="1:18">
      <c r="A183" s="223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20"/>
    </row>
    <row r="184" spans="1:18">
      <c r="A184" s="223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20"/>
    </row>
    <row r="185" spans="1:18">
      <c r="A185" s="223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20"/>
    </row>
    <row r="186" spans="1:18">
      <c r="A186" s="223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20"/>
    </row>
    <row r="187" spans="1:18">
      <c r="A187" s="223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20"/>
    </row>
    <row r="188" spans="1:18">
      <c r="A188" s="223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20"/>
    </row>
    <row r="189" spans="1:18">
      <c r="A189" s="223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20"/>
    </row>
    <row r="190" spans="1:18">
      <c r="A190" s="223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20"/>
    </row>
    <row r="191" spans="1:18">
      <c r="A191" s="223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20"/>
    </row>
    <row r="192" spans="1:18">
      <c r="A192" s="223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20"/>
    </row>
    <row r="193" spans="1:18">
      <c r="A193" s="223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20"/>
    </row>
    <row r="194" spans="1:18">
      <c r="A194" s="223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20"/>
    </row>
    <row r="195" spans="1:18">
      <c r="A195" s="223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20"/>
    </row>
    <row r="196" spans="1:18">
      <c r="A196" s="223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20"/>
    </row>
    <row r="197" spans="1:18">
      <c r="A197" s="223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20"/>
    </row>
    <row r="198" spans="1:18">
      <c r="A198" s="223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20"/>
    </row>
    <row r="199" spans="1:18">
      <c r="A199" s="223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20"/>
    </row>
    <row r="200" spans="1:18">
      <c r="A200" s="223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20"/>
    </row>
    <row r="201" spans="1:18">
      <c r="A201" s="223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20"/>
    </row>
    <row r="202" spans="1:18">
      <c r="A202" s="223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20"/>
    </row>
    <row r="203" spans="1:18">
      <c r="A203" s="223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20"/>
    </row>
    <row r="204" spans="1:18">
      <c r="A204" s="223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20"/>
    </row>
    <row r="205" spans="1:18">
      <c r="A205" s="223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20"/>
    </row>
    <row r="206" spans="1:18">
      <c r="A206" s="223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20"/>
    </row>
    <row r="207" spans="1:18">
      <c r="A207" s="223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20"/>
    </row>
    <row r="208" spans="1:18">
      <c r="A208" s="223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20"/>
    </row>
    <row r="209" spans="1:18">
      <c r="A209" s="223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20"/>
    </row>
    <row r="210" spans="1:18">
      <c r="A210" s="223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20"/>
    </row>
    <row r="211" spans="1:18">
      <c r="A211" s="223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20"/>
    </row>
    <row r="212" spans="1:18">
      <c r="A212" s="223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20"/>
    </row>
    <row r="213" spans="1:18">
      <c r="A213" s="223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20"/>
    </row>
    <row r="214" spans="1:18">
      <c r="A214" s="223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20"/>
    </row>
    <row r="215" spans="1:18">
      <c r="A215" s="223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20"/>
    </row>
    <row r="216" spans="1:18">
      <c r="A216" s="223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20"/>
    </row>
    <row r="217" spans="1:18">
      <c r="A217" s="223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20"/>
    </row>
    <row r="218" spans="1:18">
      <c r="A218" s="223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20"/>
    </row>
    <row r="219" spans="1:18">
      <c r="A219" s="223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20"/>
    </row>
    <row r="220" spans="1:18">
      <c r="A220" s="223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20"/>
    </row>
    <row r="221" spans="1:18">
      <c r="A221" s="223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20"/>
    </row>
    <row r="222" spans="1:18">
      <c r="A222" s="223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20"/>
    </row>
    <row r="223" spans="1:18">
      <c r="A223" s="223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20"/>
    </row>
    <row r="224" spans="1:18">
      <c r="A224" s="223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20"/>
    </row>
    <row r="225" spans="1:18">
      <c r="A225" s="223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20"/>
    </row>
    <row r="226" spans="1:18">
      <c r="A226" s="223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20"/>
    </row>
    <row r="227" spans="1:18">
      <c r="A227" s="223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20"/>
    </row>
    <row r="228" spans="1:18">
      <c r="A228" s="223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20"/>
    </row>
    <row r="229" spans="1:18">
      <c r="A229" s="223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20"/>
    </row>
    <row r="230" spans="1:18">
      <c r="A230" s="223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20"/>
    </row>
    <row r="231" spans="1:18">
      <c r="A231" s="223"/>
    </row>
    <row r="232" spans="1:18">
      <c r="A232" s="223"/>
    </row>
    <row r="233" spans="1:18">
      <c r="A233" s="223"/>
    </row>
    <row r="234" spans="1:18">
      <c r="A234" s="223"/>
    </row>
    <row r="235" spans="1:18">
      <c r="A235" s="223"/>
    </row>
    <row r="236" spans="1:18">
      <c r="A236" s="223"/>
    </row>
    <row r="237" spans="1:18">
      <c r="A237" s="223"/>
    </row>
    <row r="238" spans="1:18">
      <c r="A238" s="223"/>
    </row>
    <row r="239" spans="1:18">
      <c r="A239" s="223"/>
    </row>
    <row r="240" spans="1:18">
      <c r="A240" s="223"/>
    </row>
    <row r="241" spans="1:1">
      <c r="A241" s="223"/>
    </row>
    <row r="242" spans="1:1">
      <c r="A242" s="223"/>
    </row>
    <row r="243" spans="1:1">
      <c r="A243" s="223"/>
    </row>
    <row r="244" spans="1:1">
      <c r="A244" s="223"/>
    </row>
    <row r="245" spans="1:1">
      <c r="A245" s="223"/>
    </row>
    <row r="246" spans="1:1">
      <c r="A246" s="223"/>
    </row>
    <row r="247" spans="1:1">
      <c r="A247" s="223"/>
    </row>
    <row r="248" spans="1:1">
      <c r="A248" s="223"/>
    </row>
    <row r="249" spans="1:1">
      <c r="A249" s="223"/>
    </row>
    <row r="250" spans="1:1">
      <c r="A250" s="223"/>
    </row>
    <row r="251" spans="1:1">
      <c r="A251" s="223"/>
    </row>
    <row r="252" spans="1:1">
      <c r="A252" s="223"/>
    </row>
    <row r="253" spans="1:1">
      <c r="A253" s="223"/>
    </row>
    <row r="254" spans="1:1">
      <c r="A254" s="223"/>
    </row>
    <row r="255" spans="1:1">
      <c r="A255" s="223"/>
    </row>
    <row r="256" spans="1:1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</sheetData>
  <mergeCells count="9">
    <mergeCell ref="G24:H24"/>
    <mergeCell ref="H25:I25"/>
    <mergeCell ref="J143:P143"/>
    <mergeCell ref="P54:Q54"/>
    <mergeCell ref="G54:H54"/>
    <mergeCell ref="G56:H56"/>
    <mergeCell ref="G57:H57"/>
    <mergeCell ref="O49:Q49"/>
    <mergeCell ref="O50:Q50"/>
  </mergeCells>
  <phoneticPr fontId="0" type="noConversion"/>
  <hyperlinks>
    <hyperlink ref="D118" r:id="rId1"/>
    <hyperlink ref="J143" r:id="rId2"/>
    <hyperlink ref="E137" r:id="rId3"/>
  </hyperlinks>
  <pageMargins left="0.78740157499999996" right="0.78740157499999996" top="0.984251969" bottom="0.984251969" header="0.49212598499999999" footer="0.49212598499999999"/>
  <pageSetup paperSize="9" orientation="portrait" horizontalDpi="4294967294" verticalDpi="4294967293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workbookViewId="0">
      <selection activeCell="J17" sqref="J17"/>
    </sheetView>
  </sheetViews>
  <sheetFormatPr defaultRowHeight="15.75"/>
  <cols>
    <col min="1" max="16384" width="9" style="316"/>
  </cols>
  <sheetData>
    <row r="9" spans="6:6" ht="30.75">
      <c r="F9" s="318" t="s">
        <v>107</v>
      </c>
    </row>
    <row r="11" spans="6:6">
      <c r="F11" s="317" t="s">
        <v>108</v>
      </c>
    </row>
  </sheetData>
  <phoneticPr fontId="0" type="noConversion"/>
  <hyperlinks>
    <hyperlink ref="F9" r:id="rId1"/>
    <hyperlink ref="F11" r:id="rId2"/>
  </hyperlinks>
  <pageMargins left="0.78740157499999996" right="0.78740157499999996" top="0.984251969" bottom="0.984251969" header="0.49212598499999999" footer="0.49212598499999999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Parcelados</vt:lpstr>
      <vt:lpstr>Créditos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 Michel Pereira</dc:creator>
  <cp:lastModifiedBy>User</cp:lastModifiedBy>
  <dcterms:created xsi:type="dcterms:W3CDTF">2004-06-25T19:23:05Z</dcterms:created>
  <dcterms:modified xsi:type="dcterms:W3CDTF">2019-08-31T03:06:32Z</dcterms:modified>
</cp:coreProperties>
</file>