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8" windowHeight="8088" tabRatio="1000" firstSheet="3" activeTab="8"/>
  </bookViews>
  <sheets>
    <sheet name="Início" sheetId="7" r:id="rId1"/>
    <sheet name="Função de 1º Grau1" sheetId="10" r:id="rId2"/>
    <sheet name="Tabela e Gráfico" sheetId="24" r:id="rId3"/>
    <sheet name="Taxa1" sheetId="26" r:id="rId4"/>
    <sheet name="Taxa de Var02" sheetId="22" r:id="rId5"/>
    <sheet name="Taxa de Var1" sheetId="21" r:id="rId6"/>
    <sheet name="Taxa de Var3" sheetId="23" r:id="rId7"/>
    <sheet name="TeG" sheetId="25" r:id="rId8"/>
    <sheet name="Equação da função reta01" sheetId="20" r:id="rId9"/>
    <sheet name="Equação da Reta1" sheetId="6" r:id="rId10"/>
    <sheet name="EquaçãoReta2" sheetId="8" r:id="rId11"/>
    <sheet name="Função de 1º Grau2" sheetId="12" r:id="rId12"/>
    <sheet name="Exerc 1a 6" sheetId="11" r:id="rId13"/>
    <sheet name="Função quadrática" sheetId="9" r:id="rId14"/>
    <sheet name="Exer7 a 11" sheetId="13" r:id="rId15"/>
    <sheet name="Autoria" sheetId="4" r:id="rId16"/>
    <sheet name="FIM" sheetId="15" r:id="rId17"/>
    <sheet name="Plan2" sheetId="16" r:id="rId18"/>
    <sheet name="Plan3" sheetId="17" r:id="rId19"/>
    <sheet name="Plan5" sheetId="19" r:id="rId20"/>
    <sheet name="Plan4" sheetId="18" r:id="rId21"/>
    <sheet name="Gerador" sheetId="14" r:id="rId22"/>
  </sheets>
  <definedNames>
    <definedName name="_GoBack" localSheetId="14">'Exer7 a 11'!$A$11</definedName>
  </definedNames>
  <calcPr calcId="124519"/>
</workbook>
</file>

<file path=xl/calcChain.xml><?xml version="1.0" encoding="utf-8"?>
<calcChain xmlns="http://schemas.openxmlformats.org/spreadsheetml/2006/main">
  <c r="E32" i="25"/>
  <c r="E33"/>
  <c r="E15"/>
  <c r="F25" i="21"/>
  <c r="G25"/>
  <c r="F24"/>
  <c r="G23"/>
  <c r="G19"/>
  <c r="F20"/>
  <c r="F21"/>
  <c r="F22"/>
  <c r="F23"/>
  <c r="F19"/>
  <c r="N10"/>
  <c r="G20" s="1"/>
  <c r="N11"/>
  <c r="G21" s="1"/>
  <c r="N12"/>
  <c r="G22" s="1"/>
  <c r="N13"/>
  <c r="N14"/>
  <c r="G24" s="1"/>
  <c r="N15"/>
  <c r="N9"/>
  <c r="I10"/>
  <c r="I11"/>
  <c r="I12"/>
  <c r="I13"/>
  <c r="I14"/>
  <c r="I15"/>
  <c r="I9"/>
  <c r="AG29" i="26"/>
  <c r="Y13"/>
  <c r="AH15"/>
  <c r="Y15" s="1"/>
  <c r="AG14"/>
  <c r="W14" s="1"/>
  <c r="AA14" s="1"/>
  <c r="AH13"/>
  <c r="T15"/>
  <c r="AG15" s="1"/>
  <c r="T13"/>
  <c r="AG13" s="1"/>
  <c r="W13" s="1"/>
  <c r="AA13" s="1"/>
  <c r="T11"/>
  <c r="S11"/>
  <c r="AH14" s="1"/>
  <c r="Y14" s="1"/>
  <c r="S15"/>
  <c r="AG16" s="1"/>
  <c r="S13"/>
  <c r="S9"/>
  <c r="H6"/>
  <c r="N6" s="1"/>
  <c r="F14"/>
  <c r="S17" s="1"/>
  <c r="AG18" s="1"/>
  <c r="J6"/>
  <c r="T6" s="1"/>
  <c r="E17" i="24"/>
  <c r="E18" s="1"/>
  <c r="E19" s="1"/>
  <c r="E24"/>
  <c r="G10" i="25"/>
  <c r="I10"/>
  <c r="F14" s="1"/>
  <c r="AC14" s="1"/>
  <c r="I10" i="24"/>
  <c r="F13" s="1"/>
  <c r="I11" i="7"/>
  <c r="I10"/>
  <c r="AG6" i="24"/>
  <c r="E23" s="1"/>
  <c r="U17" i="22"/>
  <c r="I22"/>
  <c r="I23"/>
  <c r="B11" i="14"/>
  <c r="A10"/>
  <c r="A11" s="1"/>
  <c r="C5" s="1"/>
  <c r="A3"/>
  <c r="H14" i="24" l="1"/>
  <c r="K13" s="1"/>
  <c r="F15" i="25"/>
  <c r="E24" s="1"/>
  <c r="E4" i="24"/>
  <c r="E16" i="25"/>
  <c r="W18" i="26"/>
  <c r="AA18" s="1"/>
  <c r="AH20"/>
  <c r="Y20" s="1"/>
  <c r="AH17"/>
  <c r="Y17" s="1"/>
  <c r="W15"/>
  <c r="AA15" s="1"/>
  <c r="AH18"/>
  <c r="Y18" s="1"/>
  <c r="W16"/>
  <c r="AC13"/>
  <c r="AH16"/>
  <c r="Y16" s="1"/>
  <c r="I12"/>
  <c r="L12" s="1"/>
  <c r="N12" s="1"/>
  <c r="G10"/>
  <c r="T9" s="1"/>
  <c r="I11"/>
  <c r="I13"/>
  <c r="L13" s="1"/>
  <c r="G14"/>
  <c r="T17" s="1"/>
  <c r="AG17" s="1"/>
  <c r="F15"/>
  <c r="S19" s="1"/>
  <c r="AG20" s="1"/>
  <c r="E20" i="24"/>
  <c r="F17"/>
  <c r="H15"/>
  <c r="K15" s="1"/>
  <c r="L15" s="1"/>
  <c r="E23" i="25"/>
  <c r="AC15"/>
  <c r="AG6"/>
  <c r="E4"/>
  <c r="H14"/>
  <c r="J13" s="1"/>
  <c r="F13"/>
  <c r="AC13" s="1"/>
  <c r="H15"/>
  <c r="N13" i="24"/>
  <c r="B3" i="14"/>
  <c r="A5"/>
  <c r="A12"/>
  <c r="C2" s="1"/>
  <c r="C3"/>
  <c r="F6" s="1"/>
  <c r="A7"/>
  <c r="K14" i="24" l="1"/>
  <c r="M14" s="1"/>
  <c r="J13"/>
  <c r="F16" i="25"/>
  <c r="E17"/>
  <c r="J14" i="24"/>
  <c r="N14" s="1"/>
  <c r="AC15" i="26"/>
  <c r="AA16"/>
  <c r="W20"/>
  <c r="AA20" s="1"/>
  <c r="AH22"/>
  <c r="Y22" s="1"/>
  <c r="W17"/>
  <c r="AA17" s="1"/>
  <c r="AC17" s="1"/>
  <c r="AH19"/>
  <c r="Y19" s="1"/>
  <c r="M12"/>
  <c r="K13"/>
  <c r="O13" s="1"/>
  <c r="I14"/>
  <c r="K12"/>
  <c r="O12" s="1"/>
  <c r="AL14"/>
  <c r="G15"/>
  <c r="T19" s="1"/>
  <c r="AG19" s="1"/>
  <c r="F16"/>
  <c r="S21" s="1"/>
  <c r="AG22" s="1"/>
  <c r="E21" i="24"/>
  <c r="N13" i="26"/>
  <c r="M13"/>
  <c r="L10"/>
  <c r="O10"/>
  <c r="K10"/>
  <c r="K11"/>
  <c r="O11" s="1"/>
  <c r="L11"/>
  <c r="F18" i="24"/>
  <c r="J15"/>
  <c r="N15" s="1"/>
  <c r="E25"/>
  <c r="H16"/>
  <c r="M15"/>
  <c r="K13" i="25"/>
  <c r="N13"/>
  <c r="J15"/>
  <c r="N15" s="1"/>
  <c r="K15"/>
  <c r="K14"/>
  <c r="J14"/>
  <c r="N14" s="1"/>
  <c r="H17" i="24"/>
  <c r="L14"/>
  <c r="AC17"/>
  <c r="C11" i="14"/>
  <c r="C7"/>
  <c r="B10"/>
  <c r="B6"/>
  <c r="A6" s="1"/>
  <c r="B4"/>
  <c r="A8"/>
  <c r="C12" s="1"/>
  <c r="B2"/>
  <c r="A2"/>
  <c r="I21" i="13"/>
  <c r="I20"/>
  <c r="D16"/>
  <c r="D15"/>
  <c r="D14"/>
  <c r="C13"/>
  <c r="M13" i="24" l="1"/>
  <c r="E25" i="25"/>
  <c r="AC16"/>
  <c r="H16"/>
  <c r="L13" i="24"/>
  <c r="E18" i="25"/>
  <c r="F17"/>
  <c r="W22" i="26"/>
  <c r="AA22" s="1"/>
  <c r="AH24"/>
  <c r="Y24" s="1"/>
  <c r="AH21"/>
  <c r="Y21" s="1"/>
  <c r="W19"/>
  <c r="AA19" s="1"/>
  <c r="AC19" s="1"/>
  <c r="K14"/>
  <c r="O14" s="1"/>
  <c r="L14"/>
  <c r="G16"/>
  <c r="I15"/>
  <c r="AL15"/>
  <c r="F17"/>
  <c r="S23" s="1"/>
  <c r="AG24" s="1"/>
  <c r="E22" i="24"/>
  <c r="N11" i="26"/>
  <c r="M10"/>
  <c r="M11"/>
  <c r="N10"/>
  <c r="F19" i="24"/>
  <c r="J16"/>
  <c r="N16" s="1"/>
  <c r="K16"/>
  <c r="M13" i="25"/>
  <c r="M14"/>
  <c r="L13"/>
  <c r="L14"/>
  <c r="L15"/>
  <c r="M15"/>
  <c r="J17" i="24"/>
  <c r="N17" s="1"/>
  <c r="K17"/>
  <c r="H18"/>
  <c r="AC18"/>
  <c r="C10" i="14"/>
  <c r="B9"/>
  <c r="B7"/>
  <c r="J9" i="13"/>
  <c r="E9"/>
  <c r="J5"/>
  <c r="E5"/>
  <c r="B28" i="9"/>
  <c r="E19" i="25" l="1"/>
  <c r="F18"/>
  <c r="E26"/>
  <c r="AC17"/>
  <c r="H17"/>
  <c r="J16"/>
  <c r="N16" s="1"/>
  <c r="K16"/>
  <c r="W24" i="26"/>
  <c r="AA24" s="1"/>
  <c r="AH26"/>
  <c r="Y26" s="1"/>
  <c r="AL16"/>
  <c r="T21"/>
  <c r="AG21" s="1"/>
  <c r="K15"/>
  <c r="O15" s="1"/>
  <c r="L15"/>
  <c r="N14"/>
  <c r="M14"/>
  <c r="I16"/>
  <c r="F18"/>
  <c r="S25" s="1"/>
  <c r="AG26" s="1"/>
  <c r="G17"/>
  <c r="T23" s="1"/>
  <c r="AG23" s="1"/>
  <c r="F20" i="24"/>
  <c r="L17"/>
  <c r="M17"/>
  <c r="M16"/>
  <c r="L16"/>
  <c r="K18"/>
  <c r="M18" s="1"/>
  <c r="J18"/>
  <c r="N18" s="1"/>
  <c r="H19"/>
  <c r="AC19"/>
  <c r="G27" i="9"/>
  <c r="B27"/>
  <c r="B26"/>
  <c r="G25"/>
  <c r="B25"/>
  <c r="B24"/>
  <c r="J23"/>
  <c r="G23" s="1"/>
  <c r="B23"/>
  <c r="J22"/>
  <c r="E27" i="25" l="1"/>
  <c r="H18"/>
  <c r="AC18"/>
  <c r="J17"/>
  <c r="N17" s="1"/>
  <c r="K17"/>
  <c r="M16"/>
  <c r="L16"/>
  <c r="E20"/>
  <c r="F19"/>
  <c r="W26" i="26"/>
  <c r="AA26" s="1"/>
  <c r="AH28"/>
  <c r="Y28" s="1"/>
  <c r="AH25"/>
  <c r="Y25" s="1"/>
  <c r="W23"/>
  <c r="W21"/>
  <c r="AA21" s="1"/>
  <c r="AC21" s="1"/>
  <c r="AH23"/>
  <c r="Y23" s="1"/>
  <c r="K16"/>
  <c r="O16" s="1"/>
  <c r="L16"/>
  <c r="N15"/>
  <c r="M15"/>
  <c r="G18"/>
  <c r="T25" s="1"/>
  <c r="AG25" s="1"/>
  <c r="F19"/>
  <c r="S27" s="1"/>
  <c r="AG28" s="1"/>
  <c r="W28" s="1"/>
  <c r="AA28" s="1"/>
  <c r="I17"/>
  <c r="AL17"/>
  <c r="F21" i="24"/>
  <c r="F22" s="1"/>
  <c r="M24" s="1"/>
  <c r="K19"/>
  <c r="M19" s="1"/>
  <c r="J19"/>
  <c r="N19" s="1"/>
  <c r="L18"/>
  <c r="H20"/>
  <c r="AC20"/>
  <c r="E21" i="9"/>
  <c r="D21" s="1"/>
  <c r="C21"/>
  <c r="B21" s="1"/>
  <c r="L17" i="25" l="1"/>
  <c r="M17"/>
  <c r="K18"/>
  <c r="J18"/>
  <c r="N18" s="1"/>
  <c r="E28"/>
  <c r="H19"/>
  <c r="AC19"/>
  <c r="E21"/>
  <c r="F20"/>
  <c r="AA23" i="26"/>
  <c r="AC23" s="1"/>
  <c r="W25"/>
  <c r="AA25" s="1"/>
  <c r="AC25" s="1"/>
  <c r="AH27"/>
  <c r="Y27" s="1"/>
  <c r="AL18"/>
  <c r="N16"/>
  <c r="M16"/>
  <c r="G19"/>
  <c r="T27" s="1"/>
  <c r="AG27" s="1"/>
  <c r="W27" s="1"/>
  <c r="AA27" s="1"/>
  <c r="AC27" s="1"/>
  <c r="I18"/>
  <c r="K18" s="1"/>
  <c r="O18" s="1"/>
  <c r="K17"/>
  <c r="O17" s="1"/>
  <c r="L17"/>
  <c r="L19" i="24"/>
  <c r="K20"/>
  <c r="M20" s="1"/>
  <c r="J20"/>
  <c r="N20" s="1"/>
  <c r="H21"/>
  <c r="AC21"/>
  <c r="E20" i="9"/>
  <c r="D20" s="1"/>
  <c r="K19" i="25" l="1"/>
  <c r="J19"/>
  <c r="N19" s="1"/>
  <c r="E29"/>
  <c r="AC20"/>
  <c r="H20"/>
  <c r="L18"/>
  <c r="M18"/>
  <c r="E22"/>
  <c r="F22" s="1"/>
  <c r="F21"/>
  <c r="AL19" i="26"/>
  <c r="I19"/>
  <c r="L19" s="1"/>
  <c r="L18"/>
  <c r="N18" s="1"/>
  <c r="N17"/>
  <c r="M17"/>
  <c r="J21" i="24"/>
  <c r="N21" s="1"/>
  <c r="K21"/>
  <c r="M21" s="1"/>
  <c r="L20"/>
  <c r="H22"/>
  <c r="AC22"/>
  <c r="C20" i="9"/>
  <c r="B20" s="1"/>
  <c r="E19"/>
  <c r="D19" s="1"/>
  <c r="E30" i="25" l="1"/>
  <c r="AC21"/>
  <c r="H21"/>
  <c r="M19"/>
  <c r="L19"/>
  <c r="K20"/>
  <c r="J20"/>
  <c r="N20" s="1"/>
  <c r="E31"/>
  <c r="H22"/>
  <c r="AC22"/>
  <c r="K19" i="26"/>
  <c r="O19" s="1"/>
  <c r="J23"/>
  <c r="L23"/>
  <c r="M18"/>
  <c r="M19"/>
  <c r="N19"/>
  <c r="L21" i="24"/>
  <c r="K22"/>
  <c r="M22" s="1"/>
  <c r="J22"/>
  <c r="N22" s="1"/>
  <c r="C19" i="9"/>
  <c r="B19" s="1"/>
  <c r="E18"/>
  <c r="D18" s="1"/>
  <c r="C18"/>
  <c r="B18" s="1"/>
  <c r="J22" i="25" l="1"/>
  <c r="N22" s="1"/>
  <c r="K22"/>
  <c r="M20"/>
  <c r="L20"/>
  <c r="K21"/>
  <c r="J21"/>
  <c r="N21" s="1"/>
  <c r="J22" i="26"/>
  <c r="L22"/>
  <c r="N22" s="1"/>
  <c r="L22" i="24"/>
  <c r="E17" i="9"/>
  <c r="D17" s="1"/>
  <c r="C17"/>
  <c r="B17" s="1"/>
  <c r="L22" i="25" l="1"/>
  <c r="M22"/>
  <c r="L21"/>
  <c r="M21"/>
  <c r="E16" i="9"/>
  <c r="D16" s="1"/>
  <c r="C16" l="1"/>
  <c r="B16" s="1"/>
  <c r="E15"/>
  <c r="D15" s="1"/>
  <c r="C15" l="1"/>
  <c r="B15" s="1"/>
  <c r="E14"/>
  <c r="D14" s="1"/>
  <c r="C14"/>
  <c r="B14" s="1"/>
  <c r="E13" l="1"/>
  <c r="D13" s="1"/>
  <c r="C13"/>
  <c r="B13" s="1"/>
  <c r="E12" l="1"/>
  <c r="D12" s="1"/>
  <c r="C12"/>
  <c r="B12" s="1"/>
  <c r="E11"/>
  <c r="D11" s="1"/>
  <c r="C11"/>
  <c r="B11" s="1"/>
  <c r="E10"/>
  <c r="D10" s="1"/>
  <c r="C10"/>
  <c r="B10"/>
  <c r="E9"/>
  <c r="D9"/>
  <c r="C9"/>
  <c r="B9"/>
  <c r="E8"/>
  <c r="D8"/>
  <c r="C8"/>
  <c r="B8" s="1"/>
  <c r="E7"/>
  <c r="D7"/>
  <c r="B7" s="1"/>
  <c r="E6" s="1"/>
  <c r="D6" s="1"/>
  <c r="G5"/>
  <c r="I4"/>
  <c r="G4"/>
  <c r="E4"/>
  <c r="N3"/>
  <c r="M3"/>
  <c r="L3"/>
  <c r="Q23" i="11"/>
  <c r="Q17"/>
  <c r="D14"/>
  <c r="B14"/>
  <c r="D13"/>
  <c r="D12"/>
  <c r="B10"/>
  <c r="M6" l="1"/>
  <c r="H6"/>
  <c r="B20" i="12" l="1"/>
  <c r="B12"/>
  <c r="C9" s="1"/>
  <c r="B9"/>
  <c r="D8"/>
  <c r="C8"/>
  <c r="B8" l="1"/>
  <c r="C7" s="1"/>
  <c r="B7"/>
  <c r="I26" i="10" s="1"/>
  <c r="D26"/>
  <c r="F25" l="1"/>
  <c r="C25"/>
  <c r="B25" l="1"/>
  <c r="F24"/>
  <c r="C24" s="1"/>
  <c r="B24" l="1"/>
  <c r="F23"/>
  <c r="C23" s="1"/>
  <c r="B23"/>
  <c r="F22" l="1"/>
  <c r="C22" s="1"/>
  <c r="B22" l="1"/>
  <c r="F21"/>
  <c r="C21" s="1"/>
  <c r="B21" l="1"/>
  <c r="F20"/>
  <c r="C20" s="1"/>
  <c r="B20"/>
  <c r="F19"/>
  <c r="C19" s="1"/>
  <c r="B19"/>
  <c r="F18"/>
  <c r="C18" s="1"/>
  <c r="B18"/>
  <c r="F17"/>
  <c r="C17" s="1"/>
  <c r="B17"/>
  <c r="F16"/>
  <c r="C16" s="1"/>
  <c r="B16" s="1"/>
  <c r="F15"/>
  <c r="C15"/>
  <c r="B15"/>
  <c r="F14" l="1"/>
  <c r="C14" s="1"/>
  <c r="N13"/>
  <c r="G11"/>
  <c r="F11"/>
  <c r="D11"/>
  <c r="Y2"/>
  <c r="L27" i="8"/>
  <c r="J27" s="1"/>
  <c r="H27"/>
  <c r="O20" s="1"/>
  <c r="M20"/>
  <c r="O19"/>
  <c r="M19"/>
  <c r="O18"/>
  <c r="M18"/>
  <c r="O17" s="1"/>
  <c r="M17"/>
  <c r="O16"/>
  <c r="B15" s="1"/>
  <c r="R13"/>
  <c r="K13" s="1"/>
  <c r="I13"/>
  <c r="Q12" s="1"/>
  <c r="O12"/>
  <c r="K12"/>
  <c r="I12" s="1"/>
  <c r="S11"/>
  <c r="Q11"/>
  <c r="O11"/>
  <c r="K11"/>
  <c r="I11"/>
  <c r="E11"/>
  <c r="Q10"/>
  <c r="O10"/>
  <c r="K10"/>
  <c r="I10"/>
  <c r="E10"/>
  <c r="C10"/>
  <c r="W9" s="1"/>
  <c r="I5"/>
  <c r="L28" i="6" l="1"/>
  <c r="J28"/>
  <c r="H28"/>
  <c r="F21"/>
  <c r="D21"/>
  <c r="F20"/>
  <c r="D20"/>
  <c r="F19"/>
  <c r="D19"/>
  <c r="F18" s="1"/>
  <c r="D18"/>
  <c r="F17" s="1"/>
  <c r="D17"/>
  <c r="C14" s="1"/>
  <c r="W12"/>
  <c r="Y11" l="1"/>
  <c r="W11"/>
  <c r="T11"/>
  <c r="R11" l="1"/>
  <c r="P11"/>
  <c r="M11"/>
  <c r="J11"/>
  <c r="X10"/>
  <c r="V10"/>
  <c r="T10"/>
  <c r="R10"/>
  <c r="P10"/>
  <c r="M10"/>
  <c r="J10"/>
  <c r="H5"/>
  <c r="T36" i="22"/>
  <c r="S36"/>
  <c r="T35"/>
  <c r="S35"/>
  <c r="K23"/>
  <c r="K22"/>
  <c r="Q9"/>
  <c r="R15" i="20"/>
  <c r="R13"/>
  <c r="M22" i="22" l="1"/>
  <c r="B8" i="14"/>
  <c r="D9" s="1"/>
  <c r="F3" s="1"/>
  <c r="C9"/>
  <c r="C4" s="1"/>
  <c r="A13"/>
  <c r="A14" s="1"/>
  <c r="A4" s="1"/>
  <c r="F11"/>
  <c r="F10" s="1"/>
  <c r="F5"/>
  <c r="B14" i="13" l="1"/>
  <c r="B5" i="14"/>
  <c r="Y2" i="11"/>
  <c r="C8" i="14"/>
  <c r="C6"/>
  <c r="B16" i="13"/>
  <c r="I11" i="14"/>
  <c r="I10"/>
  <c r="B15" i="13" l="1"/>
  <c r="D13"/>
  <c r="B3"/>
  <c r="X24"/>
  <c r="X25" s="1"/>
  <c r="F2" i="14"/>
  <c r="F4" s="1"/>
  <c r="Y3" i="11" l="1"/>
  <c r="Y4" s="1"/>
  <c r="H6" i="14"/>
  <c r="H5"/>
  <c r="B2" i="11" l="1"/>
  <c r="J6" i="14"/>
  <c r="J5"/>
</calcChain>
</file>

<file path=xl/sharedStrings.xml><?xml version="1.0" encoding="utf-8"?>
<sst xmlns="http://schemas.openxmlformats.org/spreadsheetml/2006/main" count="395" uniqueCount="230">
  <si>
    <t>)</t>
  </si>
  <si>
    <t>x</t>
  </si>
  <si>
    <t>y</t>
  </si>
  <si>
    <t>,</t>
  </si>
  <si>
    <t>A=(</t>
  </si>
  <si>
    <t>B=(</t>
  </si>
  <si>
    <t>&lt;= Equação encontrada</t>
  </si>
  <si>
    <t>P=(</t>
  </si>
  <si>
    <t>=</t>
  </si>
  <si>
    <r>
      <rPr>
        <i/>
        <sz val="16"/>
        <color indexed="10"/>
        <rFont val="Times New Roman"/>
        <family val="1"/>
      </rPr>
      <t>y</t>
    </r>
    <r>
      <rPr>
        <i/>
        <vertAlign val="subscript"/>
        <sz val="16"/>
        <color indexed="10"/>
        <rFont val="Times New Roman"/>
        <family val="1"/>
      </rPr>
      <t>A</t>
    </r>
    <r>
      <rPr>
        <sz val="16"/>
        <color indexed="10"/>
        <rFont val="Times New Roman"/>
        <family val="1"/>
      </rPr>
      <t>=</t>
    </r>
  </si>
  <si>
    <r>
      <rPr>
        <i/>
        <sz val="16"/>
        <color indexed="60"/>
        <rFont val="Times New Roman"/>
        <family val="1"/>
      </rPr>
      <t>y</t>
    </r>
    <r>
      <rPr>
        <i/>
        <vertAlign val="subscript"/>
        <sz val="16"/>
        <color indexed="60"/>
        <rFont val="Times New Roman"/>
        <family val="1"/>
      </rPr>
      <t>B</t>
    </r>
    <r>
      <rPr>
        <i/>
        <sz val="16"/>
        <color indexed="60"/>
        <rFont val="Times New Roman"/>
        <family val="1"/>
      </rPr>
      <t>=</t>
    </r>
  </si>
  <si>
    <r>
      <t>x</t>
    </r>
    <r>
      <rPr>
        <b/>
        <i/>
        <vertAlign val="subscript"/>
        <sz val="16"/>
        <color indexed="17"/>
        <rFont val="Times New Roman"/>
        <family val="1"/>
      </rPr>
      <t>B</t>
    </r>
    <r>
      <rPr>
        <b/>
        <i/>
        <sz val="16"/>
        <color indexed="17"/>
        <rFont val="Times New Roman"/>
        <family val="1"/>
      </rPr>
      <t>=</t>
    </r>
  </si>
  <si>
    <t>e</t>
  </si>
  <si>
    <t>2º Fórmulas:</t>
  </si>
  <si>
    <t>3º   Valores que entram na fórmula:</t>
  </si>
  <si>
    <r>
      <rPr>
        <b/>
        <i/>
        <sz val="16"/>
        <color indexed="51"/>
        <rFont val="Times New Roman"/>
        <family val="1"/>
      </rPr>
      <t>a</t>
    </r>
    <r>
      <rPr>
        <b/>
        <i/>
        <sz val="16"/>
        <color indexed="8"/>
        <rFont val="Times New Roman"/>
        <family val="1"/>
      </rPr>
      <t>=</t>
    </r>
  </si>
  <si>
    <r>
      <rPr>
        <b/>
        <i/>
        <sz val="16"/>
        <color indexed="40"/>
        <rFont val="Times New Roman"/>
        <family val="1"/>
      </rPr>
      <t>b</t>
    </r>
    <r>
      <rPr>
        <b/>
        <i/>
        <sz val="16"/>
        <color indexed="23"/>
        <rFont val="Times New Roman"/>
        <family val="1"/>
      </rPr>
      <t>=</t>
    </r>
  </si>
  <si>
    <r>
      <t xml:space="preserve">Precisamos encontrar  os valores de </t>
    </r>
    <r>
      <rPr>
        <i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e </t>
    </r>
    <r>
      <rPr>
        <i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da equação  da reta que tem a forma </t>
    </r>
    <r>
      <rPr>
        <i/>
        <sz val="18"/>
        <rFont val="Times New Roman"/>
        <family val="1"/>
      </rPr>
      <t>y=</t>
    </r>
    <r>
      <rPr>
        <b/>
        <i/>
        <sz val="18"/>
        <color indexed="51"/>
        <rFont val="Times New Roman"/>
        <family val="1"/>
      </rPr>
      <t>a</t>
    </r>
    <r>
      <rPr>
        <i/>
        <sz val="18"/>
        <rFont val="Times New Roman"/>
        <family val="1"/>
      </rPr>
      <t>x+</t>
    </r>
    <r>
      <rPr>
        <b/>
        <i/>
        <sz val="18"/>
        <color indexed="40"/>
        <rFont val="Times New Roman"/>
        <family val="1"/>
      </rPr>
      <t>b</t>
    </r>
    <r>
      <rPr>
        <b/>
        <i/>
        <sz val="18"/>
        <rFont val="Times New Roman"/>
        <family val="1"/>
      </rPr>
      <t>.</t>
    </r>
    <r>
      <rPr>
        <i/>
        <sz val="11"/>
        <rFont val="Times New Roman"/>
        <family val="1"/>
      </rPr>
      <t xml:space="preserve"> </t>
    </r>
    <r>
      <rPr>
        <sz val="11"/>
        <rFont val="Times New Roman"/>
        <family val="1"/>
      </rPr>
      <t>Para isto precisamos utilizar os valores  de x e y dos pontos A e B  fornecidos.</t>
    </r>
  </si>
  <si>
    <r>
      <t>x</t>
    </r>
    <r>
      <rPr>
        <b/>
        <i/>
        <vertAlign val="subscript"/>
        <sz val="16"/>
        <color indexed="56"/>
        <rFont val="Times New Roman"/>
        <family val="1"/>
      </rPr>
      <t>A</t>
    </r>
    <r>
      <rPr>
        <b/>
        <i/>
        <sz val="16"/>
        <color indexed="56"/>
        <rFont val="Times New Roman"/>
        <family val="1"/>
      </rPr>
      <t>=</t>
    </r>
  </si>
  <si>
    <r>
      <rPr>
        <i/>
        <sz val="16"/>
        <color indexed="10"/>
        <rFont val="Times New Roman"/>
        <family val="1"/>
      </rPr>
      <t>y</t>
    </r>
    <r>
      <rPr>
        <i/>
        <vertAlign val="subscript"/>
        <sz val="16"/>
        <color indexed="10"/>
        <rFont val="Times New Roman"/>
        <family val="1"/>
      </rPr>
      <t>A</t>
    </r>
    <r>
      <rPr>
        <sz val="16"/>
        <color indexed="10"/>
        <rFont val="Times New Roman"/>
        <family val="1"/>
      </rPr>
      <t>-</t>
    </r>
    <r>
      <rPr>
        <b/>
        <i/>
        <sz val="16"/>
        <rFont val="Times New Roman"/>
        <family val="1"/>
      </rPr>
      <t xml:space="preserve"> </t>
    </r>
    <r>
      <rPr>
        <b/>
        <i/>
        <sz val="16"/>
        <color indexed="51"/>
        <rFont val="Times New Roman"/>
        <family val="1"/>
      </rPr>
      <t>a</t>
    </r>
    <r>
      <rPr>
        <b/>
        <sz val="16"/>
        <color indexed="8"/>
        <rFont val="Times New Roman"/>
        <family val="1"/>
      </rPr>
      <t xml:space="preserve">. </t>
    </r>
    <r>
      <rPr>
        <b/>
        <i/>
        <sz val="16"/>
        <color indexed="56"/>
        <rFont val="Times New Roman"/>
        <family val="1"/>
      </rPr>
      <t>x</t>
    </r>
    <r>
      <rPr>
        <b/>
        <i/>
        <vertAlign val="subscript"/>
        <sz val="16"/>
        <color indexed="56"/>
        <rFont val="Times New Roman"/>
        <family val="1"/>
      </rPr>
      <t>A</t>
    </r>
  </si>
  <si>
    <r>
      <t>(</t>
    </r>
    <r>
      <rPr>
        <i/>
        <sz val="16"/>
        <color indexed="60"/>
        <rFont val="Times New Roman"/>
        <family val="1"/>
      </rPr>
      <t>y</t>
    </r>
    <r>
      <rPr>
        <i/>
        <vertAlign val="subscript"/>
        <sz val="16"/>
        <color indexed="60"/>
        <rFont val="Times New Roman"/>
        <family val="1"/>
      </rPr>
      <t>B</t>
    </r>
    <r>
      <rPr>
        <i/>
        <sz val="16"/>
        <color indexed="60"/>
        <rFont val="Times New Roman"/>
        <family val="1"/>
      </rPr>
      <t>-</t>
    </r>
    <r>
      <rPr>
        <i/>
        <sz val="16"/>
        <color indexed="10"/>
        <rFont val="Times New Roman"/>
        <family val="1"/>
      </rPr>
      <t>y</t>
    </r>
    <r>
      <rPr>
        <i/>
        <vertAlign val="subscript"/>
        <sz val="16"/>
        <color indexed="10"/>
        <rFont val="Times New Roman"/>
        <family val="1"/>
      </rPr>
      <t>A</t>
    </r>
    <r>
      <rPr>
        <sz val="16"/>
        <color indexed="10"/>
        <rFont val="Times New Roman"/>
        <family val="1"/>
      </rPr>
      <t>)</t>
    </r>
    <r>
      <rPr>
        <sz val="16"/>
        <rFont val="Times New Roman"/>
        <family val="1"/>
      </rPr>
      <t>/</t>
    </r>
    <r>
      <rPr>
        <b/>
        <sz val="16"/>
        <color indexed="17"/>
        <rFont val="Times New Roman"/>
        <family val="1"/>
      </rPr>
      <t>(</t>
    </r>
    <r>
      <rPr>
        <b/>
        <i/>
        <sz val="16"/>
        <color indexed="17"/>
        <rFont val="Times New Roman"/>
        <family val="1"/>
      </rPr>
      <t>x</t>
    </r>
    <r>
      <rPr>
        <b/>
        <i/>
        <vertAlign val="subscript"/>
        <sz val="16"/>
        <color indexed="17"/>
        <rFont val="Times New Roman"/>
        <family val="1"/>
      </rPr>
      <t>B</t>
    </r>
    <r>
      <rPr>
        <i/>
        <sz val="16"/>
        <rFont val="Times New Roman"/>
        <family val="1"/>
      </rPr>
      <t>-</t>
    </r>
    <r>
      <rPr>
        <b/>
        <i/>
        <sz val="16"/>
        <color indexed="56"/>
        <rFont val="Times New Roman"/>
        <family val="1"/>
      </rPr>
      <t>x</t>
    </r>
    <r>
      <rPr>
        <b/>
        <i/>
        <vertAlign val="subscript"/>
        <sz val="16"/>
        <color indexed="56"/>
        <rFont val="Times New Roman"/>
        <family val="1"/>
      </rPr>
      <t>A</t>
    </r>
    <r>
      <rPr>
        <sz val="16"/>
        <rFont val="Times New Roman"/>
        <family val="1"/>
      </rPr>
      <t>)</t>
    </r>
  </si>
  <si>
    <r>
      <t>a=</t>
    </r>
    <r>
      <rPr>
        <sz val="16"/>
        <rFont val="Times New Roman"/>
        <family val="1"/>
      </rPr>
      <t>(</t>
    </r>
  </si>
  <si>
    <t>-</t>
  </si>
  <si>
    <t>)/(</t>
  </si>
  <si>
    <t>)=</t>
  </si>
  <si>
    <t>.</t>
  </si>
  <si>
    <r>
      <t xml:space="preserve">5° Escrever a equação: </t>
    </r>
    <r>
      <rPr>
        <i/>
        <sz val="16"/>
        <rFont val="Times New Roman"/>
        <family val="1"/>
      </rPr>
      <t>y=</t>
    </r>
    <r>
      <rPr>
        <i/>
        <sz val="16"/>
        <color indexed="51"/>
        <rFont val="Times New Roman"/>
        <family val="1"/>
      </rPr>
      <t>a</t>
    </r>
    <r>
      <rPr>
        <i/>
        <sz val="16"/>
        <rFont val="Times New Roman"/>
        <family val="1"/>
      </rPr>
      <t>x+</t>
    </r>
    <r>
      <rPr>
        <i/>
        <sz val="16"/>
        <color indexed="40"/>
        <rFont val="Times New Roman"/>
        <family val="1"/>
      </rPr>
      <t>b</t>
    </r>
    <r>
      <rPr>
        <sz val="16"/>
        <rFont val="Times New Roman"/>
        <family val="1"/>
      </rPr>
      <t xml:space="preserve"> </t>
    </r>
    <r>
      <rPr>
        <sz val="12"/>
        <rFont val="Times New Roman"/>
        <family val="1"/>
      </rPr>
      <t xml:space="preserve">substituindo </t>
    </r>
    <r>
      <rPr>
        <i/>
        <sz val="12"/>
        <rFont val="Times New Roman"/>
        <family val="1"/>
      </rPr>
      <t xml:space="preserve">  </t>
    </r>
    <r>
      <rPr>
        <i/>
        <sz val="14"/>
        <color indexed="51"/>
        <rFont val="Times New Roman"/>
        <family val="1"/>
      </rPr>
      <t>a</t>
    </r>
    <r>
      <rPr>
        <sz val="12"/>
        <rFont val="Times New Roman"/>
        <family val="1"/>
      </rPr>
      <t xml:space="preserve"> e </t>
    </r>
    <r>
      <rPr>
        <i/>
        <sz val="14"/>
        <color indexed="40"/>
        <rFont val="Times New Roman"/>
        <family val="1"/>
      </rPr>
      <t>b</t>
    </r>
    <r>
      <rPr>
        <sz val="12"/>
        <rFont val="Times New Roman"/>
        <family val="1"/>
      </rPr>
      <t xml:space="preserve"> pelos respectivos valores.</t>
    </r>
  </si>
  <si>
    <t>&lt;= coloque um valor para x e calcule y usando a equação encontrada</t>
  </si>
  <si>
    <t xml:space="preserve">&lt;= coloque um  x maior que o anterior  e calcule y </t>
  </si>
  <si>
    <r>
      <t>y=</t>
    </r>
    <r>
      <rPr>
        <b/>
        <i/>
        <sz val="16"/>
        <color indexed="51"/>
        <rFont val="Times New Roman"/>
        <family val="1"/>
      </rPr>
      <t>a</t>
    </r>
    <r>
      <rPr>
        <b/>
        <i/>
        <sz val="16"/>
        <rFont val="Times New Roman"/>
        <family val="1"/>
      </rPr>
      <t>x+</t>
    </r>
    <r>
      <rPr>
        <b/>
        <i/>
        <sz val="16"/>
        <color indexed="40"/>
        <rFont val="Times New Roman"/>
        <family val="1"/>
      </rPr>
      <t>b</t>
    </r>
  </si>
  <si>
    <r>
      <t xml:space="preserve">  =</t>
    </r>
    <r>
      <rPr>
        <b/>
        <i/>
        <sz val="16"/>
        <color indexed="51"/>
        <rFont val="Times New Roman"/>
        <family val="1"/>
      </rPr>
      <t xml:space="preserve">a </t>
    </r>
    <r>
      <rPr>
        <b/>
        <i/>
        <sz val="16"/>
        <rFont val="Times New Roman"/>
        <family val="1"/>
      </rPr>
      <t xml:space="preserve">. </t>
    </r>
  </si>
  <si>
    <t>+</t>
  </si>
  <si>
    <t>A</t>
  </si>
  <si>
    <t>B</t>
  </si>
  <si>
    <t>b</t>
  </si>
  <si>
    <r>
      <t xml:space="preserve">  = -</t>
    </r>
    <r>
      <rPr>
        <b/>
        <i/>
        <sz val="16"/>
        <color indexed="51"/>
        <rFont val="Times New Roman"/>
        <family val="1"/>
      </rPr>
      <t xml:space="preserve">a </t>
    </r>
    <r>
      <rPr>
        <b/>
        <i/>
        <sz val="16"/>
        <rFont val="Times New Roman"/>
        <family val="1"/>
      </rPr>
      <t xml:space="preserve">. </t>
    </r>
  </si>
  <si>
    <t>(-1)</t>
  </si>
  <si>
    <t>a</t>
  </si>
  <si>
    <t>2º Montando o sistema:</t>
  </si>
  <si>
    <r>
      <t>4º Calcular o valor da</t>
    </r>
    <r>
      <rPr>
        <b/>
        <sz val="16"/>
        <color indexed="51"/>
        <rFont val="Times New Roman"/>
        <family val="1"/>
      </rPr>
      <t xml:space="preserve"> </t>
    </r>
    <r>
      <rPr>
        <b/>
        <i/>
        <sz val="16"/>
        <color indexed="51"/>
        <rFont val="Times New Roman"/>
        <family val="1"/>
      </rPr>
      <t>a</t>
    </r>
    <r>
      <rPr>
        <i/>
        <sz val="12"/>
        <rFont val="Times New Roman"/>
        <family val="1"/>
      </rPr>
      <t xml:space="preserve"> </t>
    </r>
  </si>
  <si>
    <t xml:space="preserve">3º  Resolvendo o sistema: </t>
  </si>
  <si>
    <r>
      <rPr>
        <b/>
        <i/>
        <sz val="16"/>
        <color indexed="51"/>
        <rFont val="Times New Roman"/>
        <family val="1"/>
      </rPr>
      <t>a</t>
    </r>
    <r>
      <rPr>
        <b/>
        <sz val="16"/>
        <rFont val="Times New Roman"/>
        <family val="1"/>
      </rPr>
      <t xml:space="preserve"> +</t>
    </r>
  </si>
  <si>
    <r>
      <t>Calcular o valor da</t>
    </r>
    <r>
      <rPr>
        <b/>
        <sz val="16"/>
        <color indexed="40"/>
        <rFont val="Times New Roman"/>
        <family val="1"/>
      </rPr>
      <t xml:space="preserve"> </t>
    </r>
    <r>
      <rPr>
        <b/>
        <i/>
        <sz val="16"/>
        <color indexed="40"/>
        <rFont val="Times New Roman"/>
        <family val="1"/>
      </rPr>
      <t>b</t>
    </r>
    <r>
      <rPr>
        <i/>
        <sz val="12"/>
        <color indexed="40"/>
        <rFont val="Times New Roman"/>
        <family val="1"/>
      </rPr>
      <t xml:space="preserve"> </t>
    </r>
    <r>
      <rPr>
        <sz val="12"/>
        <rFont val="Times New Roman"/>
        <family val="1"/>
      </rPr>
      <t xml:space="preserve"> para </t>
    </r>
    <r>
      <rPr>
        <b/>
        <i/>
        <sz val="14"/>
        <color indexed="51"/>
        <rFont val="Times New Roman"/>
        <family val="1"/>
      </rPr>
      <t>a</t>
    </r>
    <r>
      <rPr>
        <sz val="12"/>
        <rFont val="Times New Roman"/>
        <family val="1"/>
      </rPr>
      <t xml:space="preserve"> =</t>
    </r>
  </si>
  <si>
    <r>
      <t xml:space="preserve">4° Escrever a equação: </t>
    </r>
    <r>
      <rPr>
        <i/>
        <sz val="16"/>
        <rFont val="Times New Roman"/>
        <family val="1"/>
      </rPr>
      <t>y=</t>
    </r>
    <r>
      <rPr>
        <b/>
        <i/>
        <sz val="16"/>
        <color indexed="51"/>
        <rFont val="Times New Roman"/>
        <family val="1"/>
      </rPr>
      <t>a</t>
    </r>
    <r>
      <rPr>
        <i/>
        <sz val="16"/>
        <rFont val="Times New Roman"/>
        <family val="1"/>
      </rPr>
      <t>x+</t>
    </r>
    <r>
      <rPr>
        <b/>
        <i/>
        <sz val="16"/>
        <color indexed="40"/>
        <rFont val="Times New Roman"/>
        <family val="1"/>
      </rPr>
      <t>b</t>
    </r>
    <r>
      <rPr>
        <sz val="16"/>
        <rFont val="Times New Roman"/>
        <family val="1"/>
      </rPr>
      <t xml:space="preserve"> </t>
    </r>
    <r>
      <rPr>
        <sz val="12"/>
        <rFont val="Times New Roman"/>
        <family val="1"/>
      </rPr>
      <t xml:space="preserve">substituindo </t>
    </r>
    <r>
      <rPr>
        <i/>
        <sz val="12"/>
        <rFont val="Times New Roman"/>
        <family val="1"/>
      </rPr>
      <t xml:space="preserve">  </t>
    </r>
    <r>
      <rPr>
        <b/>
        <i/>
        <sz val="14"/>
        <color indexed="51"/>
        <rFont val="Times New Roman"/>
        <family val="1"/>
      </rPr>
      <t>a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e </t>
    </r>
    <r>
      <rPr>
        <b/>
        <i/>
        <sz val="14"/>
        <color indexed="40"/>
        <rFont val="Times New Roman"/>
        <family val="1"/>
      </rPr>
      <t>b</t>
    </r>
    <r>
      <rPr>
        <sz val="12"/>
        <rFont val="Times New Roman"/>
        <family val="1"/>
      </rPr>
      <t xml:space="preserve"> pelos respectivos valores.</t>
    </r>
  </si>
  <si>
    <t>Tabela e grafico  da função de 1º grau correspondente.</t>
  </si>
  <si>
    <t>Fim</t>
  </si>
  <si>
    <t xml:space="preserve">Encontre a equação da reta que passa por 2 pontos.  </t>
  </si>
  <si>
    <r>
      <t xml:space="preserve">Precisamos encontrar  os valores de </t>
    </r>
    <r>
      <rPr>
        <i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e </t>
    </r>
    <r>
      <rPr>
        <i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da equação  da reta que tem a forma </t>
    </r>
    <r>
      <rPr>
        <i/>
        <sz val="18"/>
        <rFont val="Times New Roman"/>
        <family val="1"/>
      </rPr>
      <t>y=</t>
    </r>
    <r>
      <rPr>
        <b/>
        <i/>
        <sz val="18"/>
        <color indexed="51"/>
        <rFont val="Times New Roman"/>
        <family val="1"/>
      </rPr>
      <t>a</t>
    </r>
    <r>
      <rPr>
        <i/>
        <sz val="18"/>
        <rFont val="Times New Roman"/>
        <family val="1"/>
      </rPr>
      <t>x+</t>
    </r>
    <r>
      <rPr>
        <b/>
        <i/>
        <sz val="18"/>
        <color indexed="40"/>
        <rFont val="Times New Roman"/>
        <family val="1"/>
      </rPr>
      <t>b</t>
    </r>
    <r>
      <rPr>
        <b/>
        <i/>
        <sz val="18"/>
        <rFont val="Times New Roman"/>
        <family val="1"/>
      </rPr>
      <t>.</t>
    </r>
    <r>
      <rPr>
        <i/>
        <sz val="11"/>
        <rFont val="Times New Roman"/>
        <family val="1"/>
      </rPr>
      <t xml:space="preserve"> </t>
    </r>
    <r>
      <rPr>
        <sz val="11"/>
        <rFont val="Times New Roman"/>
        <family val="1"/>
      </rPr>
      <t>Para isto precisamos utilizar os valores  de x e y dos pontos A e B  fornecidos no problema. Nestes exemplos  é você que deve fornecer os pontos A e B.</t>
    </r>
  </si>
  <si>
    <t>Aproveitando os dados podemos  fazer  uma tabela  e um gráfico  da função correspondente.</t>
  </si>
  <si>
    <t>Tânia Michel Pereira/UNIJUÍ</t>
  </si>
  <si>
    <t xml:space="preserve">Problema:Encontre a equação da reta que passa por 2 pontos.  </t>
  </si>
  <si>
    <r>
      <t xml:space="preserve"> y=ax</t>
    </r>
    <r>
      <rPr>
        <b/>
        <vertAlign val="superscript"/>
        <sz val="12"/>
        <color indexed="16"/>
        <rFont val="Arial"/>
        <family val="2"/>
      </rPr>
      <t>2</t>
    </r>
    <r>
      <rPr>
        <b/>
        <sz val="12"/>
        <color indexed="16"/>
        <rFont val="Arial"/>
        <family val="2"/>
      </rPr>
      <t>+bx+c</t>
    </r>
  </si>
  <si>
    <t>a=</t>
  </si>
  <si>
    <t>b=</t>
  </si>
  <si>
    <t>c=</t>
  </si>
  <si>
    <t xml:space="preserve">2)Raízes:  </t>
  </si>
  <si>
    <t>Complete as células de fundo amarelo com os valores solicitados. Veja a tabela, o gráfico, as raízes, o ponto do vértice, a imagem e intervalos de crescimento e decrescimento.</t>
  </si>
  <si>
    <t xml:space="preserve"> Estudo da função do 1º Grau</t>
  </si>
  <si>
    <r>
      <t xml:space="preserve">       A função do 1º Grau tem a seguinte forma:</t>
    </r>
    <r>
      <rPr>
        <b/>
        <i/>
        <sz val="14"/>
        <rFont val="Times New Roman"/>
        <family val="1"/>
      </rPr>
      <t xml:space="preserve"> y=ax+b, </t>
    </r>
    <r>
      <rPr>
        <sz val="14"/>
        <rFont val="Times New Roman"/>
        <family val="1"/>
      </rPr>
      <t>onde</t>
    </r>
    <r>
      <rPr>
        <b/>
        <i/>
        <sz val="14"/>
        <rFont val="Times New Roman"/>
        <family val="1"/>
      </rPr>
      <t xml:space="preserve"> a </t>
    </r>
    <r>
      <rPr>
        <sz val="14"/>
        <rFont val="Times New Roman"/>
        <family val="1"/>
      </rPr>
      <t>e</t>
    </r>
    <r>
      <rPr>
        <b/>
        <i/>
        <sz val="14"/>
        <rFont val="Times New Roman"/>
        <family val="1"/>
      </rPr>
      <t xml:space="preserve"> b</t>
    </r>
    <r>
      <rPr>
        <sz val="14"/>
        <rFont val="Times New Roman"/>
        <family val="1"/>
      </rPr>
      <t xml:space="preserve"> </t>
    </r>
  </si>
  <si>
    <r>
      <t xml:space="preserve">são números reais e </t>
    </r>
    <r>
      <rPr>
        <b/>
        <i/>
        <sz val="14"/>
        <rFont val="Times New Roman"/>
        <family val="1"/>
      </rPr>
      <t>a</t>
    </r>
    <r>
      <rPr>
        <sz val="14"/>
        <rFont val="Times New Roman"/>
        <family val="1"/>
      </rPr>
      <t xml:space="preserve"> é diferente de zero.</t>
    </r>
  </si>
  <si>
    <t xml:space="preserve">   Para o estudo de funções  do tipo mencionado, você precisa fornecer </t>
  </si>
  <si>
    <r>
      <t>os valores solicitados (</t>
    </r>
    <r>
      <rPr>
        <sz val="14"/>
        <color indexed="17"/>
        <rFont val="Times New Roman"/>
        <family val="1"/>
      </rPr>
      <t>em cor verde</t>
    </r>
    <r>
      <rPr>
        <sz val="14"/>
        <rFont val="Times New Roman"/>
        <family val="1"/>
      </rPr>
      <t>) a seguir :</t>
    </r>
  </si>
  <si>
    <t>a =</t>
  </si>
  <si>
    <t>&lt;=Digite o valor de a  que acompanha o x</t>
  </si>
  <si>
    <t>Mínimo  esperado para x</t>
  </si>
  <si>
    <t>b =</t>
  </si>
  <si>
    <t xml:space="preserve">&lt;=Digite o valor de b, que é o valor fixo </t>
  </si>
  <si>
    <t>Máximo  esperado para x</t>
  </si>
  <si>
    <t>y1 =</t>
  </si>
  <si>
    <t xml:space="preserve">      Tabela</t>
  </si>
  <si>
    <t>função</t>
  </si>
  <si>
    <t>Raíz de y1 =</t>
  </si>
  <si>
    <t>Elizabeth Karst</t>
  </si>
  <si>
    <t>Gráfico da função</t>
  </si>
  <si>
    <r>
      <t>y</t>
    </r>
    <r>
      <rPr>
        <sz val="10"/>
        <color theme="0" tint="-0.14999847407452621"/>
        <rFont val="Times New Roman"/>
        <family val="1"/>
      </rPr>
      <t>1</t>
    </r>
    <r>
      <rPr>
        <sz val="14"/>
        <color theme="0" tint="-0.14999847407452621"/>
        <rFont val="Times New Roman"/>
        <family val="1"/>
      </rPr>
      <t xml:space="preserve">  é uma</t>
    </r>
  </si>
  <si>
    <t>2)Escreva a equação da reta utilizando os valores encontrados na questão 1 na equação y = ax +b. (Obs: as letra y e x devem permanecer na equação)</t>
  </si>
  <si>
    <t>4) Faça um gráfico a partir dos pontos da tabela da questão anterior.</t>
  </si>
  <si>
    <t>Formas de representação de uma função</t>
  </si>
  <si>
    <t>Altere somente os dados das células amarelas</t>
  </si>
  <si>
    <t>Tabela 1- Custo de produção diária em função do número de peças produzidas por dia.</t>
  </si>
  <si>
    <t>x (Número de peças/dia)</t>
  </si>
  <si>
    <t>y (Custo total/dia)</t>
  </si>
  <si>
    <t>Tabela</t>
  </si>
  <si>
    <t>Gráfico 1 - Custo de produção diária em função do número de peças produzidas por dia.</t>
  </si>
  <si>
    <t>Gráfico</t>
  </si>
  <si>
    <t>Modelo  do custo de produção do produto ABC</t>
  </si>
  <si>
    <t xml:space="preserve"> O coeficete angular é:</t>
  </si>
  <si>
    <t xml:space="preserve"> O coeficete linear é:</t>
  </si>
  <si>
    <t>Exemplo com valores errados: y=3x-5</t>
  </si>
  <si>
    <t xml:space="preserve">x </t>
  </si>
  <si>
    <t>Registre os cálculos para obter os valore de y</t>
  </si>
  <si>
    <t>Para fazer o gráfico, selecione a tabela com o cabeçalho, clique em Inserdo menu superior do Excel, escolha Dispersão, e por último, selecione uma opção entre as que aparecem.</t>
  </si>
  <si>
    <t>Não será corrigida autometicamente!</t>
  </si>
  <si>
    <t>5) Em que ponto  a reta intercepta o eixo y? Lembre  que um ponto no plano é um par ordendado da forma (x, y).</t>
  </si>
  <si>
    <t>Responta:(</t>
  </si>
  <si>
    <t>Justifique!</t>
  </si>
  <si>
    <t>6) A função representada pela equação da reta encontrada na questão 2 é crescente ou decrescente?</t>
  </si>
  <si>
    <t>Coloque o gráfico aqui!</t>
  </si>
  <si>
    <r>
      <t>A função quadrática tem expressão matemática (ou equação da parábola) da forma y=a</t>
    </r>
    <r>
      <rPr>
        <b/>
        <i/>
        <sz val="12"/>
        <rFont val="Times New Roman"/>
        <family val="1"/>
      </rPr>
      <t>x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+ b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 + c.</t>
    </r>
  </si>
  <si>
    <t>8) Encontre o  vértice.</t>
  </si>
  <si>
    <t>x1=</t>
  </si>
  <si>
    <t>x0=</t>
  </si>
  <si>
    <t>-b/a</t>
  </si>
  <si>
    <t>b=-A*x0</t>
  </si>
  <si>
    <t>x2=</t>
  </si>
  <si>
    <t>y1=</t>
  </si>
  <si>
    <t>y2=</t>
  </si>
  <si>
    <t>b=-a*xo</t>
  </si>
  <si>
    <t>x0'=</t>
  </si>
  <si>
    <t>c</t>
  </si>
  <si>
    <t>7) Encontre as raízes.( Valores de x que anulam a função ou o volor de y)</t>
  </si>
  <si>
    <t>x do vértice</t>
  </si>
  <si>
    <t>y do vértice</t>
  </si>
  <si>
    <t>9) Faça uma tabela o gráfico.</t>
  </si>
  <si>
    <t>11)Qual é o valor de x que dá o menor valor de y?</t>
  </si>
  <si>
    <t xml:space="preserve">10) Qual é o menor valor que y atinge no gráfico? </t>
  </si>
  <si>
    <t>FIM</t>
  </si>
  <si>
    <t xml:space="preserve"> Laboratório Virtual de Matemática /UNIJUÍ</t>
  </si>
  <si>
    <t>7) Em que ponto  a reta intercepta o eixo x? Lembre  que um ponto no plano é um par ordendado da forma (x, y).</t>
  </si>
  <si>
    <r>
      <t>Considere que as retas tem expressão matemática (ou equação) com forma y=a</t>
    </r>
    <r>
      <rPr>
        <b/>
        <i/>
        <sz val="14"/>
        <color theme="1"/>
        <rFont val="Times New Roman"/>
        <family val="1"/>
      </rPr>
      <t>x</t>
    </r>
    <r>
      <rPr>
        <b/>
        <sz val="14"/>
        <color theme="1"/>
        <rFont val="Times New Roman"/>
        <family val="1"/>
      </rPr>
      <t xml:space="preserve"> + b, onde "a" o coeficiente angular e "b" é o coeficiente linear.</t>
    </r>
  </si>
  <si>
    <r>
      <t>1)Encontre  o coeficiente angular e o coeficiente linear da reta que passa pelos pontos P</t>
    </r>
    <r>
      <rPr>
        <vertAlign val="subscript"/>
        <sz val="14"/>
        <color theme="1"/>
        <rFont val="Times New Roman"/>
        <family val="1"/>
      </rPr>
      <t>1</t>
    </r>
    <r>
      <rPr>
        <sz val="14"/>
        <color theme="1"/>
        <rFont val="Times New Roman"/>
        <family val="1"/>
      </rPr>
      <t xml:space="preserve"> e P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.</t>
    </r>
  </si>
  <si>
    <r>
      <t xml:space="preserve">Registre os cálculos para obter os valore de y. </t>
    </r>
    <r>
      <rPr>
        <sz val="12"/>
        <color theme="4"/>
        <rFont val="Arial"/>
        <family val="2"/>
      </rPr>
      <t>(NÃO SERÁ CORRIGIDO AUTOMATICAMENTE)</t>
    </r>
  </si>
  <si>
    <t>Equação da reta que passa por 2 pontos do gráfico</t>
  </si>
  <si>
    <t xml:space="preserve">O gráfico S x t abaixo representa um movimento retilíneo uniforme retrógrado, ou seja, a medida que o tempo passa, </t>
  </si>
  <si>
    <t>o espaço percorrido pelo móvel diminui. Qual a função do tipo S(x) = ax+b descreve esta situação?</t>
  </si>
  <si>
    <r>
      <t>Ponto 1= (</t>
    </r>
    <r>
      <rPr>
        <sz val="12"/>
        <color rgb="FF00B050"/>
        <rFont val="Arial"/>
        <family val="2"/>
      </rPr>
      <t>x1</t>
    </r>
    <r>
      <rPr>
        <sz val="12"/>
        <rFont val="Arial"/>
        <family val="2"/>
      </rPr>
      <t>,</t>
    </r>
    <r>
      <rPr>
        <sz val="12"/>
        <color rgb="FFFF0000"/>
        <rFont val="Arial"/>
        <family val="2"/>
      </rPr>
      <t xml:space="preserve"> y1</t>
    </r>
    <r>
      <rPr>
        <sz val="12"/>
        <rFont val="Arial"/>
        <family val="2"/>
      </rPr>
      <t>)=(</t>
    </r>
    <r>
      <rPr>
        <sz val="12"/>
        <color rgb="FF00B050"/>
        <rFont val="Arial"/>
        <family val="2"/>
      </rPr>
      <t>0</t>
    </r>
    <r>
      <rPr>
        <sz val="12"/>
        <rFont val="Arial"/>
        <family val="2"/>
      </rPr>
      <t xml:space="preserve">,    </t>
    </r>
    <r>
      <rPr>
        <sz val="12"/>
        <color rgb="FFFF0000"/>
        <rFont val="Arial"/>
        <family val="2"/>
      </rPr>
      <t>8</t>
    </r>
    <r>
      <rPr>
        <sz val="12"/>
        <rFont val="Arial"/>
        <family val="2"/>
      </rPr>
      <t>)</t>
    </r>
  </si>
  <si>
    <r>
      <t>Ponto 2= (</t>
    </r>
    <r>
      <rPr>
        <sz val="12"/>
        <color rgb="FF00B050"/>
        <rFont val="Arial"/>
        <family val="2"/>
      </rPr>
      <t>x2</t>
    </r>
    <r>
      <rPr>
        <sz val="12"/>
        <rFont val="Arial"/>
        <family val="2"/>
      </rPr>
      <t xml:space="preserve">, </t>
    </r>
    <r>
      <rPr>
        <sz val="12"/>
        <color rgb="FFFF0000"/>
        <rFont val="Arial"/>
        <family val="2"/>
      </rPr>
      <t>y2</t>
    </r>
    <r>
      <rPr>
        <sz val="12"/>
        <rFont val="Arial"/>
        <family val="2"/>
      </rPr>
      <t>)=(</t>
    </r>
    <r>
      <rPr>
        <sz val="12"/>
        <color rgb="FF00B050"/>
        <rFont val="Arial"/>
        <family val="2"/>
      </rPr>
      <t>16</t>
    </r>
    <r>
      <rPr>
        <sz val="12"/>
        <rFont val="Arial"/>
        <family val="2"/>
      </rPr>
      <t xml:space="preserve">, </t>
    </r>
    <r>
      <rPr>
        <sz val="12"/>
        <color rgb="FFFF0000"/>
        <rFont val="Arial"/>
        <family val="2"/>
      </rPr>
      <t xml:space="preserve"> 0</t>
    </r>
    <r>
      <rPr>
        <sz val="12"/>
        <rFont val="Arial"/>
        <family val="2"/>
      </rPr>
      <t>)</t>
    </r>
  </si>
  <si>
    <t>Os pontos dados no gráfico  ao lado são:</t>
  </si>
  <si>
    <r>
      <rPr>
        <sz val="12"/>
        <color rgb="FF00B050"/>
        <rFont val="Arial"/>
        <family val="2"/>
      </rPr>
      <t>(0</t>
    </r>
    <r>
      <rPr>
        <sz val="12"/>
        <rFont val="Arial"/>
        <family val="2"/>
      </rPr>
      <t xml:space="preserve">, </t>
    </r>
    <r>
      <rPr>
        <sz val="12"/>
        <color rgb="FFFF0000"/>
        <rFont val="Arial"/>
        <family val="2"/>
      </rPr>
      <t>8</t>
    </r>
    <r>
      <rPr>
        <sz val="12"/>
        <rFont val="Arial"/>
        <family val="2"/>
      </rPr>
      <t xml:space="preserve">)  e </t>
    </r>
    <r>
      <rPr>
        <sz val="12"/>
        <color rgb="FF00B050"/>
        <rFont val="Arial"/>
        <family val="2"/>
      </rPr>
      <t>(16</t>
    </r>
    <r>
      <rPr>
        <sz val="12"/>
        <rFont val="Arial"/>
        <family val="2"/>
      </rPr>
      <t xml:space="preserve">, </t>
    </r>
    <r>
      <rPr>
        <sz val="12"/>
        <color rgb="FFFF0000"/>
        <rFont val="Arial"/>
        <family val="2"/>
      </rPr>
      <t>0</t>
    </r>
    <r>
      <rPr>
        <sz val="12"/>
        <rFont val="Arial"/>
        <family val="2"/>
      </rPr>
      <t>).</t>
    </r>
  </si>
  <si>
    <r>
      <t>que no caso são</t>
    </r>
    <r>
      <rPr>
        <sz val="10"/>
        <color rgb="FFFF0000"/>
        <rFont val="Arial"/>
        <family val="2"/>
      </rPr>
      <t xml:space="preserve"> 8</t>
    </r>
    <r>
      <rPr>
        <sz val="10"/>
        <rFont val="Arial"/>
        <family val="2"/>
      </rPr>
      <t xml:space="preserve"> e</t>
    </r>
    <r>
      <rPr>
        <sz val="10"/>
        <color rgb="FFFF0000"/>
        <rFont val="Arial"/>
        <family val="2"/>
      </rPr>
      <t xml:space="preserve"> 0</t>
    </r>
    <r>
      <rPr>
        <sz val="10"/>
        <rFont val="Arial"/>
        <family val="2"/>
      </rPr>
      <t xml:space="preserve">, pela diferença dos valores de x, que são </t>
    </r>
    <r>
      <rPr>
        <sz val="10"/>
        <color rgb="FF00B050"/>
        <rFont val="Arial"/>
        <family val="2"/>
      </rPr>
      <t>0</t>
    </r>
    <r>
      <rPr>
        <sz val="10"/>
        <rFont val="Arial"/>
        <family val="2"/>
      </rPr>
      <t xml:space="preserve"> e </t>
    </r>
    <r>
      <rPr>
        <sz val="10"/>
        <color rgb="FF00B050"/>
        <rFont val="Arial"/>
        <family val="2"/>
      </rPr>
      <t>16</t>
    </r>
    <r>
      <rPr>
        <sz val="10"/>
        <rFont val="Arial"/>
        <family val="2"/>
      </rPr>
      <t xml:space="preserve">, mantendo a mesma ordem. </t>
    </r>
  </si>
  <si>
    <r>
      <t>Encontre o coeficinte angular</t>
    </r>
    <r>
      <rPr>
        <b/>
        <sz val="10"/>
        <color theme="4"/>
        <rFont val="Arial"/>
        <family val="2"/>
      </rPr>
      <t xml:space="preserve"> a</t>
    </r>
    <r>
      <rPr>
        <sz val="10"/>
        <rFont val="Arial"/>
        <family val="2"/>
      </rPr>
      <t xml:space="preserve"> que é dado razão entre a diferença dos valores de  y , </t>
    </r>
  </si>
  <si>
    <t>8 - 0</t>
  </si>
  <si>
    <t>0 -16</t>
  </si>
  <si>
    <t>a)</t>
  </si>
  <si>
    <t xml:space="preserve">ou </t>
  </si>
  <si>
    <r>
      <t xml:space="preserve"> b) Já temos o valor de</t>
    </r>
    <r>
      <rPr>
        <sz val="12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a</t>
    </r>
    <r>
      <rPr>
        <b/>
        <sz val="12"/>
        <color theme="2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da função </t>
    </r>
    <r>
      <rPr>
        <sz val="10"/>
        <color rgb="FFFF0000"/>
        <rFont val="Arial"/>
        <family val="2"/>
      </rPr>
      <t>y</t>
    </r>
    <r>
      <rPr>
        <b/>
        <sz val="12"/>
        <color rgb="FF0070C0"/>
        <rFont val="Arial"/>
        <family val="2"/>
      </rPr>
      <t>=a</t>
    </r>
    <r>
      <rPr>
        <sz val="12"/>
        <color rgb="FF00B050"/>
        <rFont val="Arial"/>
        <family val="2"/>
      </rPr>
      <t>x</t>
    </r>
    <r>
      <rPr>
        <sz val="12"/>
        <color theme="1"/>
        <rFont val="Arial"/>
        <family val="2"/>
      </rPr>
      <t>+</t>
    </r>
    <r>
      <rPr>
        <sz val="12"/>
        <color theme="5" tint="-0.249977111117893"/>
        <rFont val="Arial"/>
        <family val="2"/>
      </rPr>
      <t>b</t>
    </r>
    <r>
      <rPr>
        <sz val="10"/>
        <color theme="1"/>
        <rFont val="Arial"/>
        <family val="2"/>
      </rPr>
      <t xml:space="preserve">. Portanto </t>
    </r>
    <r>
      <rPr>
        <sz val="10"/>
        <color rgb="FFFF0000"/>
        <rFont val="Arial"/>
        <family val="2"/>
      </rPr>
      <t>y</t>
    </r>
    <r>
      <rPr>
        <sz val="10"/>
        <color theme="1"/>
        <rFont val="Arial"/>
        <family val="2"/>
      </rPr>
      <t>=</t>
    </r>
  </si>
  <si>
    <r>
      <rPr>
        <sz val="10"/>
        <color rgb="FF00B050"/>
        <rFont val="Arial"/>
        <family val="2"/>
      </rPr>
      <t>x</t>
    </r>
    <r>
      <rPr>
        <sz val="10"/>
        <rFont val="Arial"/>
        <family val="2"/>
      </rPr>
      <t>+</t>
    </r>
    <r>
      <rPr>
        <sz val="10"/>
        <color theme="5" tint="-0.249977111117893"/>
        <rFont val="Arial"/>
        <family val="2"/>
      </rPr>
      <t>b</t>
    </r>
  </si>
  <si>
    <r>
      <rPr>
        <b/>
        <sz val="12"/>
        <color rgb="FFFF0000"/>
        <rFont val="Arial"/>
        <family val="2"/>
      </rPr>
      <t>8</t>
    </r>
    <r>
      <rPr>
        <b/>
        <sz val="12"/>
        <color theme="1"/>
        <rFont val="Arial"/>
        <family val="2"/>
      </rPr>
      <t>=</t>
    </r>
    <r>
      <rPr>
        <b/>
        <sz val="12"/>
        <color rgb="FF0070C0"/>
        <rFont val="Arial"/>
        <family val="2"/>
      </rPr>
      <t>-0,5</t>
    </r>
    <r>
      <rPr>
        <b/>
        <sz val="12"/>
        <color rgb="FF00B050"/>
        <rFont val="Arial"/>
        <family val="2"/>
      </rPr>
      <t xml:space="preserve"> .  16</t>
    </r>
    <r>
      <rPr>
        <b/>
        <sz val="12"/>
        <rFont val="Arial"/>
        <family val="2"/>
      </rPr>
      <t xml:space="preserve"> +</t>
    </r>
    <r>
      <rPr>
        <b/>
        <sz val="12"/>
        <color theme="5" tint="-0.249977111117893"/>
        <rFont val="Arial"/>
        <family val="2"/>
      </rPr>
      <t xml:space="preserve"> b</t>
    </r>
  </si>
  <si>
    <r>
      <rPr>
        <b/>
        <sz val="12"/>
        <color rgb="FFFF0000"/>
        <rFont val="Arial"/>
        <family val="2"/>
      </rPr>
      <t>8</t>
    </r>
    <r>
      <rPr>
        <b/>
        <sz val="12"/>
        <color theme="1"/>
        <rFont val="Arial"/>
        <family val="2"/>
      </rPr>
      <t>=-8</t>
    </r>
    <r>
      <rPr>
        <sz val="12"/>
        <rFont val="Arial"/>
        <family val="2"/>
      </rPr>
      <t xml:space="preserve"> +</t>
    </r>
    <r>
      <rPr>
        <sz val="12"/>
        <color theme="5" tint="-0.249977111117893"/>
        <rFont val="Arial"/>
        <family val="2"/>
      </rPr>
      <t xml:space="preserve"> </t>
    </r>
    <r>
      <rPr>
        <b/>
        <sz val="12"/>
        <color theme="5" tint="-0.249977111117893"/>
        <rFont val="Arial"/>
        <family val="2"/>
      </rPr>
      <t>b</t>
    </r>
  </si>
  <si>
    <r>
      <rPr>
        <b/>
        <sz val="12"/>
        <color rgb="FFFF0000"/>
        <rFont val="Arial"/>
        <family val="2"/>
      </rPr>
      <t>8</t>
    </r>
    <r>
      <rPr>
        <b/>
        <sz val="12"/>
        <rFont val="Arial"/>
        <family val="2"/>
      </rPr>
      <t>+8=</t>
    </r>
    <r>
      <rPr>
        <b/>
        <sz val="12"/>
        <color theme="5" tint="-0.249977111117893"/>
        <rFont val="Arial"/>
        <family val="2"/>
      </rPr>
      <t>b</t>
    </r>
  </si>
  <si>
    <r>
      <t xml:space="preserve">-8 + </t>
    </r>
    <r>
      <rPr>
        <b/>
        <sz val="12"/>
        <color theme="5" tint="-0.249977111117893"/>
        <rFont val="Arial"/>
        <family val="2"/>
      </rPr>
      <t>b</t>
    </r>
    <r>
      <rPr>
        <b/>
        <sz val="12"/>
        <rFont val="Arial"/>
        <family val="2"/>
      </rPr>
      <t xml:space="preserve"> =</t>
    </r>
    <r>
      <rPr>
        <b/>
        <sz val="12"/>
        <color rgb="FFFF0000"/>
        <rFont val="Arial"/>
        <family val="2"/>
      </rPr>
      <t xml:space="preserve"> 8</t>
    </r>
  </si>
  <si>
    <r>
      <rPr>
        <b/>
        <sz val="12"/>
        <color theme="5" tint="-0.249977111117893"/>
        <rFont val="Arial"/>
        <family val="2"/>
      </rPr>
      <t>b</t>
    </r>
    <r>
      <rPr>
        <b/>
        <sz val="12"/>
        <rFont val="Arial"/>
        <family val="2"/>
      </rPr>
      <t>=</t>
    </r>
  </si>
  <si>
    <r>
      <rPr>
        <b/>
        <sz val="12"/>
        <color rgb="FFFF0000"/>
        <rFont val="Arial"/>
        <family val="2"/>
      </rPr>
      <t>8</t>
    </r>
    <r>
      <rPr>
        <b/>
        <sz val="12"/>
        <rFont val="Arial"/>
        <family val="2"/>
      </rPr>
      <t>+8</t>
    </r>
  </si>
  <si>
    <t>16=b</t>
  </si>
  <si>
    <r>
      <t>y=</t>
    </r>
    <r>
      <rPr>
        <sz val="16"/>
        <color theme="4" tint="-0.249977111117893"/>
        <rFont val="Arial"/>
        <family val="2"/>
      </rPr>
      <t>-0,5</t>
    </r>
    <r>
      <rPr>
        <sz val="16"/>
        <rFont val="Arial"/>
        <family val="2"/>
      </rPr>
      <t>x+</t>
    </r>
    <r>
      <rPr>
        <sz val="16"/>
        <color theme="5" tint="-0.249977111117893"/>
        <rFont val="Arial"/>
        <family val="2"/>
      </rPr>
      <t>16</t>
    </r>
  </si>
  <si>
    <t>Meses</t>
  </si>
  <si>
    <t>jan</t>
  </si>
  <si>
    <t>fev</t>
  </si>
  <si>
    <t>mar</t>
  </si>
  <si>
    <t>abr</t>
  </si>
  <si>
    <t>mai</t>
  </si>
  <si>
    <t>jun</t>
  </si>
  <si>
    <t>jul</t>
  </si>
  <si>
    <t>ago</t>
  </si>
  <si>
    <t xml:space="preserve"> https://www.bcb.gov.br</t>
  </si>
  <si>
    <t>Fonte:</t>
  </si>
  <si>
    <t xml:space="preserve">Tempo decorrido(x) </t>
  </si>
  <si>
    <r>
      <t>Cotação do dólar em  2009</t>
    </r>
    <r>
      <rPr>
        <b/>
        <sz val="10"/>
        <color rgb="FF00B050"/>
        <rFont val="Verdana"/>
        <family val="2"/>
      </rPr>
      <t>(y)</t>
    </r>
  </si>
  <si>
    <r>
      <t>Cotação do dólar em  2019</t>
    </r>
    <r>
      <rPr>
        <b/>
        <sz val="10"/>
        <color rgb="FFFF0000"/>
        <rFont val="Verdana"/>
        <family val="2"/>
      </rPr>
      <t>(y)</t>
    </r>
  </si>
  <si>
    <t>Tabela1 e gráfico1  da cotação do dólar americano  referente ao  primeiro dia de  cada do mês de janeiro a agosto 2009 e 2019</t>
  </si>
  <si>
    <t>Gráfico1</t>
  </si>
  <si>
    <r>
      <t>Para encontrar a função do tipo y=S(x)=</t>
    </r>
    <r>
      <rPr>
        <sz val="10"/>
        <color rgb="FF0070C0"/>
        <rFont val="Arial"/>
        <family val="2"/>
      </rPr>
      <t>a</t>
    </r>
    <r>
      <rPr>
        <sz val="10"/>
        <rFont val="Arial"/>
        <family val="2"/>
      </rPr>
      <t>x+</t>
    </r>
    <r>
      <rPr>
        <sz val="10"/>
        <color theme="5" tint="-0.249977111117893"/>
        <rFont val="Arial"/>
        <family val="2"/>
      </rPr>
      <t>b</t>
    </r>
    <r>
      <rPr>
        <sz val="10"/>
        <rFont val="Arial"/>
        <family val="2"/>
      </rPr>
      <t xml:space="preserve">  faça o seguinte:</t>
    </r>
  </si>
  <si>
    <t>P1=</t>
  </si>
  <si>
    <r>
      <t>Cotação do dólar em  2009</t>
    </r>
    <r>
      <rPr>
        <b/>
        <sz val="10"/>
        <color rgb="FF0070C0"/>
        <rFont val="Verdana"/>
        <family val="2"/>
      </rPr>
      <t>(y)</t>
    </r>
  </si>
  <si>
    <t>Tabela1- Cotação do dólar americano  referente ao  primeiro dia de  cada do mês de janeiro a agosto 2009</t>
  </si>
  <si>
    <t>Cálculo da taxa de variação média do período de jan a ago de 2009</t>
  </si>
  <si>
    <r>
      <t>Tempo decorrido</t>
    </r>
    <r>
      <rPr>
        <b/>
        <sz val="10"/>
        <color rgb="FFFF0000"/>
        <rFont val="Verdana"/>
        <family val="2"/>
      </rPr>
      <t>(x)</t>
    </r>
    <r>
      <rPr>
        <b/>
        <sz val="10"/>
        <rFont val="Verdana"/>
        <family val="2"/>
      </rPr>
      <t xml:space="preserve"> </t>
    </r>
  </si>
  <si>
    <r>
      <rPr>
        <sz val="16"/>
        <color rgb="FF0070C0"/>
        <rFont val="Arial"/>
        <family val="2"/>
      </rPr>
      <t>y</t>
    </r>
    <r>
      <rPr>
        <vertAlign val="subscript"/>
        <sz val="10"/>
        <color rgb="FF0070C0"/>
        <rFont val="Arial"/>
        <family val="2"/>
      </rPr>
      <t xml:space="preserve">Final     </t>
    </r>
    <r>
      <rPr>
        <sz val="16"/>
        <color rgb="FF0070C0"/>
        <rFont val="Arial"/>
        <family val="2"/>
      </rPr>
      <t xml:space="preserve">-    </t>
    </r>
    <r>
      <rPr>
        <sz val="14"/>
        <color rgb="FF0070C0"/>
        <rFont val="Arial"/>
        <family val="2"/>
      </rPr>
      <t>y</t>
    </r>
    <r>
      <rPr>
        <vertAlign val="subscript"/>
        <sz val="10"/>
        <color rgb="FF0070C0"/>
        <rFont val="Arial"/>
        <family val="2"/>
      </rPr>
      <t>Inicial</t>
    </r>
  </si>
  <si>
    <r>
      <rPr>
        <sz val="16"/>
        <color rgb="FFFF0000"/>
        <rFont val="Arial"/>
        <family val="2"/>
      </rPr>
      <t>x</t>
    </r>
    <r>
      <rPr>
        <vertAlign val="subscript"/>
        <sz val="10"/>
        <color rgb="FFFF0000"/>
        <rFont val="Arial"/>
        <family val="2"/>
      </rPr>
      <t xml:space="preserve">Final     </t>
    </r>
    <r>
      <rPr>
        <sz val="16"/>
        <color rgb="FFFF0000"/>
        <rFont val="Arial"/>
        <family val="2"/>
      </rPr>
      <t xml:space="preserve">-    </t>
    </r>
    <r>
      <rPr>
        <sz val="14"/>
        <color rgb="FFFF0000"/>
        <rFont val="Arial"/>
        <family val="2"/>
      </rPr>
      <t>x</t>
    </r>
    <r>
      <rPr>
        <vertAlign val="subscript"/>
        <sz val="10"/>
        <color rgb="FFFF0000"/>
        <rFont val="Arial"/>
        <family val="2"/>
      </rPr>
      <t>Inicial</t>
    </r>
  </si>
  <si>
    <r>
      <rPr>
        <sz val="14"/>
        <rFont val="Arial"/>
        <family val="2"/>
      </rPr>
      <t>(</t>
    </r>
    <r>
      <rPr>
        <sz val="14"/>
        <color rgb="FFFF0000"/>
        <rFont val="Arial"/>
        <family val="2"/>
      </rPr>
      <t>x</t>
    </r>
    <r>
      <rPr>
        <vertAlign val="subscript"/>
        <sz val="16"/>
        <color rgb="FFFF0000"/>
        <rFont val="Arial"/>
        <family val="2"/>
      </rPr>
      <t>inicial</t>
    </r>
    <r>
      <rPr>
        <sz val="10"/>
        <rFont val="Arial"/>
        <family val="2"/>
      </rPr>
      <t xml:space="preserve">,  </t>
    </r>
    <r>
      <rPr>
        <sz val="14"/>
        <rFont val="Arial"/>
        <family val="2"/>
      </rPr>
      <t xml:space="preserve"> </t>
    </r>
    <r>
      <rPr>
        <sz val="14"/>
        <color rgb="FF0070C0"/>
        <rFont val="Arial"/>
        <family val="2"/>
      </rPr>
      <t>y</t>
    </r>
    <r>
      <rPr>
        <vertAlign val="subscript"/>
        <sz val="14"/>
        <color rgb="FF0070C0"/>
        <rFont val="Arial"/>
        <family val="2"/>
      </rPr>
      <t>inicial</t>
    </r>
    <r>
      <rPr>
        <sz val="12"/>
        <rFont val="Arial"/>
        <family val="2"/>
      </rPr>
      <t>)</t>
    </r>
  </si>
  <si>
    <r>
      <rPr>
        <sz val="14"/>
        <rFont val="Arial"/>
        <family val="2"/>
      </rPr>
      <t xml:space="preserve">( </t>
    </r>
    <r>
      <rPr>
        <sz val="14"/>
        <color rgb="FFFF0000"/>
        <rFont val="Arial"/>
        <family val="2"/>
      </rPr>
      <t>x</t>
    </r>
    <r>
      <rPr>
        <vertAlign val="subscript"/>
        <sz val="10"/>
        <color rgb="FFFF0000"/>
        <rFont val="Arial"/>
        <family val="2"/>
      </rPr>
      <t>Final</t>
    </r>
    <r>
      <rPr>
        <sz val="10"/>
        <rFont val="Arial"/>
        <family val="2"/>
      </rPr>
      <t>,</t>
    </r>
    <r>
      <rPr>
        <sz val="14"/>
        <rFont val="Arial"/>
        <family val="2"/>
      </rPr>
      <t xml:space="preserve">   </t>
    </r>
    <r>
      <rPr>
        <sz val="14"/>
        <color rgb="FF0070C0"/>
        <rFont val="Arial"/>
        <family val="2"/>
      </rPr>
      <t>y</t>
    </r>
    <r>
      <rPr>
        <vertAlign val="subscript"/>
        <sz val="10"/>
        <color rgb="FF0070C0"/>
        <rFont val="Arial"/>
        <family val="2"/>
      </rPr>
      <t>Final</t>
    </r>
    <r>
      <rPr>
        <sz val="14"/>
        <rFont val="Arial"/>
        <family val="2"/>
      </rPr>
      <t>)</t>
    </r>
  </si>
  <si>
    <t xml:space="preserve">x + </t>
  </si>
  <si>
    <r>
      <t>y=f(x)=</t>
    </r>
    <r>
      <rPr>
        <b/>
        <sz val="10"/>
        <color rgb="FFFF0000"/>
        <rFont val="Arial"/>
        <family val="2"/>
      </rPr>
      <t>a</t>
    </r>
    <r>
      <rPr>
        <sz val="10"/>
        <rFont val="Arial"/>
      </rPr>
      <t>x+</t>
    </r>
    <r>
      <rPr>
        <b/>
        <sz val="10"/>
        <color rgb="FF00B050"/>
        <rFont val="Arial"/>
        <family val="2"/>
      </rPr>
      <t>b</t>
    </r>
  </si>
  <si>
    <t>a) Defina valores para o x, inserindo-os na tabela primeira coluna da tabela .</t>
  </si>
  <si>
    <t>b) Em seguida calcule os valores de y ou f(x), colocando-os na segunda coluna da tabela.</t>
  </si>
  <si>
    <t>c) Utilize o sinal de vírgula  como separador decimal.</t>
  </si>
  <si>
    <t>Digite teu nome</t>
  </si>
  <si>
    <t>Digite teu RG da UNIJUÍ</t>
  </si>
  <si>
    <t xml:space="preserve">Tânia </t>
  </si>
  <si>
    <t xml:space="preserve">                         Para avançar,  clique sobre a aba seguinte</t>
  </si>
  <si>
    <t>Taxa de variação</t>
  </si>
  <si>
    <t xml:space="preserve">Função polinomuial de grau 1: </t>
  </si>
  <si>
    <t xml:space="preserve">Para fazer mais exemplos, troque os valores que estão nas células amarelas  </t>
  </si>
  <si>
    <t>Em seguida, observe onde se localize no gráfico, cada um dos pontos P(x,y) de cada linha do tabela. Observe as seguintes orientações:</t>
  </si>
  <si>
    <r>
      <t xml:space="preserve">Pontos   ( </t>
    </r>
    <r>
      <rPr>
        <b/>
        <sz val="10"/>
        <color rgb="FFC00000"/>
        <rFont val="Arial"/>
        <family val="2"/>
      </rPr>
      <t>x</t>
    </r>
    <r>
      <rPr>
        <sz val="10"/>
        <rFont val="Arial"/>
        <family val="2"/>
      </rPr>
      <t xml:space="preserve">,  </t>
    </r>
    <r>
      <rPr>
        <b/>
        <sz val="10"/>
        <color rgb="FF009644"/>
        <rFont val="Arial"/>
        <family val="2"/>
      </rPr>
      <t xml:space="preserve">y  </t>
    </r>
    <r>
      <rPr>
        <sz val="10"/>
        <rFont val="Arial"/>
        <family val="2"/>
      </rPr>
      <t>)</t>
    </r>
  </si>
  <si>
    <t>b)</t>
  </si>
  <si>
    <t xml:space="preserve"> na forma</t>
  </si>
  <si>
    <t>Função polinomuial de grau 1 com  forma</t>
  </si>
  <si>
    <r>
      <t>Em seguida, observe onde se localize no gráfico, cada um dos pontos (</t>
    </r>
    <r>
      <rPr>
        <b/>
        <sz val="11"/>
        <color rgb="FFC00000"/>
        <rFont val="Arial"/>
        <family val="2"/>
      </rPr>
      <t>x</t>
    </r>
    <r>
      <rPr>
        <sz val="11"/>
        <color theme="1"/>
        <rFont val="Arial"/>
        <family val="2"/>
      </rPr>
      <t>,</t>
    </r>
    <r>
      <rPr>
        <b/>
        <sz val="11"/>
        <color rgb="FF009644"/>
        <rFont val="Arial"/>
        <family val="2"/>
      </rPr>
      <t>y</t>
    </r>
    <r>
      <rPr>
        <sz val="11"/>
        <color theme="1"/>
        <rFont val="Arial"/>
        <family val="2"/>
      </rPr>
      <t>) de cada linha do tabela. Observe as seguintes orientações:</t>
    </r>
  </si>
  <si>
    <r>
      <rPr>
        <b/>
        <sz val="11"/>
        <color rgb="FF009644"/>
        <rFont val="Arial"/>
        <family val="2"/>
      </rPr>
      <t xml:space="preserve"> y</t>
    </r>
    <r>
      <rPr>
        <sz val="11"/>
        <color theme="1"/>
        <rFont val="Arial"/>
        <family val="2"/>
      </rPr>
      <t>=</t>
    </r>
    <r>
      <rPr>
        <sz val="11"/>
        <color rgb="FF009644"/>
        <rFont val="Arial"/>
        <family val="2"/>
      </rPr>
      <t> </t>
    </r>
    <r>
      <rPr>
        <sz val="11"/>
        <color rgb="FF009644"/>
        <rFont val="Arial"/>
        <family val="2"/>
      </rPr>
      <t>f(x) =</t>
    </r>
    <r>
      <rPr>
        <sz val="11"/>
        <color theme="1"/>
        <rFont val="Arial"/>
        <family val="2"/>
      </rPr>
      <t xml:space="preserve"> </t>
    </r>
  </si>
  <si>
    <r>
      <t>y=f(x)=</t>
    </r>
    <r>
      <rPr>
        <b/>
        <sz val="10"/>
        <color theme="5" tint="-0.499984740745262"/>
        <rFont val="Arial"/>
        <family val="2"/>
      </rPr>
      <t>a</t>
    </r>
    <r>
      <rPr>
        <sz val="10"/>
        <rFont val="Arial"/>
      </rPr>
      <t>x+</t>
    </r>
    <r>
      <rPr>
        <b/>
        <sz val="10"/>
        <color rgb="FF0070C0"/>
        <rFont val="Arial"/>
        <family val="2"/>
      </rPr>
      <t>b</t>
    </r>
  </si>
  <si>
    <r>
      <t xml:space="preserve">Ao utilizar  o ponto 1  e substituir </t>
    </r>
    <r>
      <rPr>
        <sz val="10"/>
        <color rgb="FF00B050"/>
        <rFont val="Arial"/>
        <family val="2"/>
      </rPr>
      <t xml:space="preserve"> x </t>
    </r>
    <r>
      <rPr>
        <sz val="10"/>
        <rFont val="Arial"/>
        <family val="2"/>
      </rPr>
      <t>e</t>
    </r>
    <r>
      <rPr>
        <sz val="10"/>
        <color rgb="FFFF0000"/>
        <rFont val="Arial"/>
        <family val="2"/>
      </rPr>
      <t xml:space="preserve"> y</t>
    </r>
    <r>
      <rPr>
        <sz val="10"/>
        <rFont val="Arial"/>
        <family val="2"/>
      </rPr>
      <t xml:space="preserve"> pelo valores de que estes ocupam no ponto (</t>
    </r>
    <r>
      <rPr>
        <b/>
        <sz val="10"/>
        <color rgb="FF00B050"/>
        <rFont val="Arial"/>
        <family val="2"/>
      </rPr>
      <t>0</t>
    </r>
    <r>
      <rPr>
        <sz val="10"/>
        <rFont val="Arial"/>
        <family val="2"/>
      </rPr>
      <t>,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8</t>
    </r>
    <r>
      <rPr>
        <sz val="10"/>
        <rFont val="Arial"/>
        <family val="2"/>
      </rPr>
      <t>) temos</t>
    </r>
  </si>
  <si>
    <t>Taxas de variação  da função  em tabela, linha por linha</t>
  </si>
  <si>
    <r>
      <t>D</t>
    </r>
    <r>
      <rPr>
        <sz val="12"/>
        <rFont val="Verdana"/>
        <family val="2"/>
      </rPr>
      <t>y</t>
    </r>
  </si>
  <si>
    <r>
      <t>y</t>
    </r>
    <r>
      <rPr>
        <vertAlign val="subscript"/>
        <sz val="12"/>
        <rFont val="Arial"/>
        <family val="2"/>
      </rPr>
      <t>n</t>
    </r>
    <r>
      <rPr>
        <sz val="12"/>
        <rFont val="Arial"/>
        <family val="2"/>
      </rPr>
      <t xml:space="preserve"> - y</t>
    </r>
    <r>
      <rPr>
        <vertAlign val="subscript"/>
        <sz val="12"/>
        <rFont val="Arial"/>
        <family val="2"/>
      </rPr>
      <t>1</t>
    </r>
  </si>
  <si>
    <r>
      <t>D</t>
    </r>
    <r>
      <rPr>
        <sz val="12"/>
        <rFont val="Verdana"/>
        <family val="2"/>
      </rPr>
      <t>x</t>
    </r>
  </si>
  <si>
    <r>
      <t>x</t>
    </r>
    <r>
      <rPr>
        <vertAlign val="subscript"/>
        <sz val="12"/>
        <rFont val="Arial"/>
        <family val="2"/>
      </rPr>
      <t>n</t>
    </r>
    <r>
      <rPr>
        <sz val="12"/>
        <rFont val="Arial"/>
        <family val="2"/>
      </rPr>
      <t xml:space="preserve"> - x</t>
    </r>
    <r>
      <rPr>
        <vertAlign val="subscript"/>
        <sz val="12"/>
        <rFont val="Arial"/>
        <family val="2"/>
      </rPr>
      <t>1</t>
    </r>
  </si>
  <si>
    <t>Taxa de variação média com os dados da tabela</t>
  </si>
  <si>
    <t xml:space="preserve">A taxa de variação da função cujo gráfico é uma reta </t>
  </si>
  <si>
    <t>&lt;---</t>
  </si>
  <si>
    <t>é o coeficiente linear.</t>
  </si>
  <si>
    <t xml:space="preserve">é o coeficiente angular e </t>
  </si>
  <si>
    <t>Considere o primeiro e o último par ordenado</t>
  </si>
  <si>
    <t>=&gt;</t>
  </si>
  <si>
    <r>
      <t>D</t>
    </r>
    <r>
      <rPr>
        <b/>
        <u/>
        <sz val="11"/>
        <color rgb="FF009644"/>
        <rFont val="Verdana"/>
        <family val="2"/>
      </rPr>
      <t>y</t>
    </r>
  </si>
  <si>
    <r>
      <t>y</t>
    </r>
    <r>
      <rPr>
        <b/>
        <u/>
        <vertAlign val="subscript"/>
        <sz val="11"/>
        <color rgb="FF009644"/>
        <rFont val="Arial"/>
        <family val="2"/>
      </rPr>
      <t>n</t>
    </r>
    <r>
      <rPr>
        <b/>
        <u/>
        <sz val="11"/>
        <color rgb="FF009644"/>
        <rFont val="Arial"/>
        <family val="2"/>
      </rPr>
      <t xml:space="preserve"> - y</t>
    </r>
    <r>
      <rPr>
        <b/>
        <u/>
        <vertAlign val="subscript"/>
        <sz val="11"/>
        <color rgb="FF009644"/>
        <rFont val="Arial"/>
        <family val="2"/>
      </rPr>
      <t>1</t>
    </r>
  </si>
  <si>
    <r>
      <t>D</t>
    </r>
    <r>
      <rPr>
        <b/>
        <sz val="11"/>
        <color rgb="FFFF0000"/>
        <rFont val="Verdana"/>
        <family val="2"/>
      </rPr>
      <t>x</t>
    </r>
  </si>
  <si>
    <r>
      <t>x</t>
    </r>
    <r>
      <rPr>
        <b/>
        <vertAlign val="subscript"/>
        <sz val="11"/>
        <color rgb="FFFF0000"/>
        <rFont val="Arial"/>
        <family val="2"/>
      </rPr>
      <t>n</t>
    </r>
    <r>
      <rPr>
        <b/>
        <sz val="11"/>
        <color rgb="FFFF0000"/>
        <rFont val="Arial"/>
        <family val="2"/>
      </rPr>
      <t xml:space="preserve"> - x</t>
    </r>
    <r>
      <rPr>
        <b/>
        <vertAlign val="subscript"/>
        <sz val="11"/>
        <color rgb="FFFF0000"/>
        <rFont val="Arial"/>
        <family val="2"/>
      </rPr>
      <t>1</t>
    </r>
  </si>
  <si>
    <t>Taxas</t>
  </si>
  <si>
    <t xml:space="preserve"> y= f(x) = </t>
  </si>
  <si>
    <r>
      <t>y=f(x)=</t>
    </r>
    <r>
      <rPr>
        <sz val="12"/>
        <color theme="5" tint="-0.499984740745262"/>
        <rFont val="Arial"/>
        <family val="2"/>
      </rPr>
      <t>a</t>
    </r>
    <r>
      <rPr>
        <sz val="12"/>
        <rFont val="Arial"/>
        <family val="2"/>
      </rPr>
      <t>x+</t>
    </r>
    <r>
      <rPr>
        <sz val="12"/>
        <color rgb="FF0070C0"/>
        <rFont val="Arial"/>
        <family val="2"/>
      </rPr>
      <t>b</t>
    </r>
  </si>
  <si>
    <r>
      <t xml:space="preserve">O parâmetro </t>
    </r>
    <r>
      <rPr>
        <sz val="12"/>
        <color theme="5" tint="-0.499984740745262"/>
        <rFont val="Arial"/>
        <family val="2"/>
      </rPr>
      <t xml:space="preserve"> a</t>
    </r>
    <r>
      <rPr>
        <sz val="12"/>
        <color rgb="FFC00000"/>
        <rFont val="Arial"/>
        <family val="2"/>
      </rPr>
      <t xml:space="preserve"> </t>
    </r>
    <r>
      <rPr>
        <sz val="12"/>
        <rFont val="Arial"/>
        <family val="2"/>
      </rPr>
      <t xml:space="preserve">é o coeficinte angular e </t>
    </r>
    <r>
      <rPr>
        <sz val="12"/>
        <color theme="3"/>
        <rFont val="Arial"/>
        <family val="2"/>
      </rPr>
      <t>b</t>
    </r>
    <r>
      <rPr>
        <sz val="12"/>
        <rFont val="Arial"/>
        <family val="2"/>
      </rPr>
      <t xml:space="preserve"> é o coeficiente  linear.</t>
    </r>
  </si>
  <si>
    <t xml:space="preserve"> y= </t>
  </si>
  <si>
    <t>Utilize o sinal de vírgula  como separador decimal.</t>
  </si>
  <si>
    <t xml:space="preserve">onde y é  um  </t>
  </si>
  <si>
    <t>1) Defina valores para o x, inserindo-os na tabela primeira coluna da tabela .</t>
  </si>
  <si>
    <t>2) Em seguida calcule os valores de y ou f(x), colocando-os na segunda coluna da tabela.</t>
  </si>
  <si>
    <t>1)-&gt;</t>
  </si>
  <si>
    <t>&lt;-  2)</t>
  </si>
  <si>
    <t xml:space="preserve">Obs: Para ver mais exemplos </t>
  </si>
  <si>
    <r>
      <t xml:space="preserve">é igual o coeficinte angular  "a" da reta </t>
    </r>
    <r>
      <rPr>
        <b/>
        <sz val="11"/>
        <color rgb="FF00B050"/>
        <rFont val="Arial"/>
        <family val="2"/>
      </rPr>
      <t>y</t>
    </r>
    <r>
      <rPr>
        <b/>
        <sz val="11"/>
        <color theme="4"/>
        <rFont val="Arial"/>
        <family val="2"/>
      </rPr>
      <t>=</t>
    </r>
    <r>
      <rPr>
        <b/>
        <sz val="11"/>
        <color theme="5" tint="-0.499984740745262"/>
        <rFont val="Arial"/>
        <family val="2"/>
      </rPr>
      <t>a</t>
    </r>
    <r>
      <rPr>
        <b/>
        <sz val="11"/>
        <color rgb="FFFF0000"/>
        <rFont val="Arial"/>
        <family val="2"/>
      </rPr>
      <t>x</t>
    </r>
    <r>
      <rPr>
        <b/>
        <sz val="11"/>
        <color theme="4"/>
        <rFont val="Arial"/>
        <family val="2"/>
      </rPr>
      <t>+</t>
    </r>
    <r>
      <rPr>
        <b/>
        <sz val="11"/>
        <color rgb="FF0070C0"/>
        <rFont val="Arial"/>
        <family val="2"/>
      </rPr>
      <t>b</t>
    </r>
    <r>
      <rPr>
        <b/>
        <sz val="11"/>
        <color theme="4"/>
        <rFont val="Arial"/>
        <family val="2"/>
      </rPr>
      <t>.</t>
    </r>
  </si>
  <si>
    <t>Tabela1- Cotação do dólar americano  referente ao  primeiro dia de  cada do mês de janeiro a agosto 2019</t>
  </si>
  <si>
    <t>Taxa de variação média negativa significa decrescimento da variável y!</t>
  </si>
  <si>
    <r>
      <t>D</t>
    </r>
    <r>
      <rPr>
        <b/>
        <sz val="11"/>
        <color rgb="FF009644"/>
        <rFont val="Verdana"/>
        <family val="2"/>
      </rPr>
      <t>y</t>
    </r>
    <r>
      <rPr>
        <b/>
        <sz val="11"/>
        <color theme="1"/>
        <rFont val="Verdana"/>
        <family val="2"/>
      </rPr>
      <t/>
    </r>
  </si>
  <si>
    <r>
      <rPr>
        <b/>
        <sz val="12"/>
        <color rgb="FFFF0000"/>
        <rFont val="Symbol"/>
        <family val="1"/>
        <charset val="2"/>
      </rPr>
      <t>D</t>
    </r>
    <r>
      <rPr>
        <b/>
        <sz val="12"/>
        <color rgb="FFFF0000"/>
        <rFont val="Verdana"/>
        <family val="2"/>
      </rPr>
      <t>x</t>
    </r>
  </si>
  <si>
    <t>Taxas de variação  mensal</t>
  </si>
  <si>
    <t>Cotação do dólar em  2019            (y)</t>
  </si>
  <si>
    <r>
      <t xml:space="preserve">= </t>
    </r>
    <r>
      <rPr>
        <sz val="10"/>
        <color theme="0"/>
        <rFont val="Arial"/>
        <family val="2"/>
      </rPr>
      <t>.......</t>
    </r>
  </si>
  <si>
    <r>
      <t>y</t>
    </r>
    <r>
      <rPr>
        <b/>
        <vertAlign val="subscript"/>
        <sz val="11"/>
        <color rgb="FF009644"/>
        <rFont val="Arial"/>
        <family val="2"/>
      </rPr>
      <t>n</t>
    </r>
    <r>
      <rPr>
        <b/>
        <sz val="11"/>
        <color rgb="FF009644"/>
        <rFont val="Arial"/>
        <family val="2"/>
      </rPr>
      <t xml:space="preserve"> - y</t>
    </r>
    <r>
      <rPr>
        <b/>
        <vertAlign val="subscript"/>
        <sz val="11"/>
        <color rgb="FF009644"/>
        <rFont val="Arial"/>
        <family val="2"/>
      </rPr>
      <t>1</t>
    </r>
  </si>
  <si>
    <t>Taxa de variação do dólar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</si>
</sst>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275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i/>
      <sz val="18"/>
      <name val="Times New Roman"/>
      <family val="1"/>
    </font>
    <font>
      <i/>
      <sz val="14"/>
      <color indexed="40"/>
      <name val="Times New Roman"/>
      <family val="1"/>
    </font>
    <font>
      <b/>
      <i/>
      <sz val="16"/>
      <color indexed="8"/>
      <name val="Times New Roman"/>
      <family val="1"/>
    </font>
    <font>
      <sz val="16"/>
      <name val="Times New Roman"/>
      <family val="1"/>
    </font>
    <font>
      <i/>
      <sz val="16"/>
      <color indexed="60"/>
      <name val="Times New Roman"/>
      <family val="1"/>
    </font>
    <font>
      <i/>
      <vertAlign val="subscript"/>
      <sz val="16"/>
      <color indexed="60"/>
      <name val="Times New Roman"/>
      <family val="1"/>
    </font>
    <font>
      <i/>
      <sz val="16"/>
      <color indexed="10"/>
      <name val="Times New Roman"/>
      <family val="1"/>
    </font>
    <font>
      <i/>
      <vertAlign val="subscript"/>
      <sz val="16"/>
      <color indexed="10"/>
      <name val="Times New Roman"/>
      <family val="1"/>
    </font>
    <font>
      <sz val="16"/>
      <color indexed="10"/>
      <name val="Times New Roman"/>
      <family val="1"/>
    </font>
    <font>
      <b/>
      <sz val="16"/>
      <color indexed="17"/>
      <name val="Times New Roman"/>
      <family val="1"/>
    </font>
    <font>
      <b/>
      <i/>
      <sz val="16"/>
      <color indexed="17"/>
      <name val="Times New Roman"/>
      <family val="1"/>
    </font>
    <font>
      <b/>
      <i/>
      <vertAlign val="subscript"/>
      <sz val="16"/>
      <color indexed="17"/>
      <name val="Times New Roman"/>
      <family val="1"/>
    </font>
    <font>
      <i/>
      <sz val="16"/>
      <name val="Times New Roman"/>
      <family val="1"/>
    </font>
    <font>
      <b/>
      <i/>
      <sz val="16"/>
      <color indexed="23"/>
      <name val="Times New Roman"/>
      <family val="1"/>
    </font>
    <font>
      <b/>
      <i/>
      <sz val="16"/>
      <name val="Times New Roman"/>
      <family val="1"/>
    </font>
    <font>
      <b/>
      <i/>
      <sz val="18"/>
      <name val="Times New Roman"/>
      <family val="1"/>
    </font>
    <font>
      <b/>
      <i/>
      <sz val="18"/>
      <color indexed="51"/>
      <name val="Times New Roman"/>
      <family val="1"/>
    </font>
    <font>
      <b/>
      <i/>
      <sz val="16"/>
      <color indexed="51"/>
      <name val="Times New Roman"/>
      <family val="1"/>
    </font>
    <font>
      <b/>
      <sz val="16"/>
      <color indexed="51"/>
      <name val="Times New Roman"/>
      <family val="1"/>
    </font>
    <font>
      <b/>
      <sz val="16"/>
      <color indexed="8"/>
      <name val="Times New Roman"/>
      <family val="1"/>
    </font>
    <font>
      <b/>
      <i/>
      <sz val="16"/>
      <color indexed="40"/>
      <name val="Times New Roman"/>
      <family val="1"/>
    </font>
    <font>
      <b/>
      <i/>
      <sz val="18"/>
      <color indexed="40"/>
      <name val="Times New Roman"/>
      <family val="1"/>
    </font>
    <font>
      <b/>
      <i/>
      <sz val="16"/>
      <color indexed="56"/>
      <name val="Times New Roman"/>
      <family val="1"/>
    </font>
    <font>
      <b/>
      <i/>
      <vertAlign val="subscript"/>
      <sz val="16"/>
      <color indexed="56"/>
      <name val="Times New Roman"/>
      <family val="1"/>
    </font>
    <font>
      <i/>
      <sz val="14"/>
      <color indexed="51"/>
      <name val="Times New Roman"/>
      <family val="1"/>
    </font>
    <font>
      <i/>
      <sz val="16"/>
      <color indexed="51"/>
      <name val="Times New Roman"/>
      <family val="1"/>
    </font>
    <font>
      <i/>
      <sz val="16"/>
      <color indexed="40"/>
      <name val="Times New Roman"/>
      <family val="1"/>
    </font>
    <font>
      <b/>
      <sz val="10"/>
      <name val="Times New Roman"/>
      <family val="1"/>
    </font>
    <font>
      <sz val="20"/>
      <name val="Times New Roman"/>
      <family val="1"/>
    </font>
    <font>
      <b/>
      <i/>
      <sz val="14"/>
      <color indexed="40"/>
      <name val="Times New Roman"/>
      <family val="1"/>
    </font>
    <font>
      <b/>
      <i/>
      <sz val="14"/>
      <color indexed="5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indexed="40"/>
      <name val="Times New Roman"/>
      <family val="1"/>
    </font>
    <font>
      <i/>
      <sz val="12"/>
      <color indexed="40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rgb="FF0070C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5" tint="-0.249977111117893"/>
      <name val="Times New Roman"/>
      <family val="1"/>
    </font>
    <font>
      <sz val="12"/>
      <color rgb="FF0070C0"/>
      <name val="Times New Roman"/>
      <family val="1"/>
    </font>
    <font>
      <sz val="16"/>
      <color rgb="FFFF0000"/>
      <name val="Times New Roman"/>
      <family val="1"/>
    </font>
    <font>
      <b/>
      <i/>
      <sz val="16"/>
      <color rgb="FF00B050"/>
      <name val="Times New Roman"/>
      <family val="1"/>
    </font>
    <font>
      <b/>
      <sz val="16"/>
      <color rgb="FF00B050"/>
      <name val="Times New Roman"/>
      <family val="1"/>
    </font>
    <font>
      <b/>
      <i/>
      <sz val="16"/>
      <color theme="1"/>
      <name val="Times New Roman"/>
      <family val="1"/>
    </font>
    <font>
      <b/>
      <i/>
      <sz val="16"/>
      <color theme="0" tint="-0.499984740745262"/>
      <name val="Times New Roman"/>
      <family val="1"/>
    </font>
    <font>
      <b/>
      <i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4"/>
      <color theme="5" tint="0.39997558519241921"/>
      <name val="Times New Roman"/>
      <family val="1"/>
    </font>
    <font>
      <sz val="14"/>
      <color rgb="FFFF0000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FFC000"/>
      <name val="Times New Roman"/>
      <family val="1"/>
    </font>
    <font>
      <i/>
      <sz val="16"/>
      <color rgb="FFFFC000"/>
      <name val="Times New Roman"/>
      <family val="1"/>
    </font>
    <font>
      <b/>
      <sz val="12"/>
      <color rgb="FF00B0F0"/>
      <name val="Times New Roman"/>
      <family val="1"/>
    </font>
    <font>
      <sz val="12"/>
      <color rgb="FFFF0000"/>
      <name val="Times New Roman"/>
      <family val="1"/>
    </font>
    <font>
      <sz val="8"/>
      <color rgb="FFFF0000"/>
      <name val="Times New Roman"/>
      <family val="1"/>
    </font>
    <font>
      <b/>
      <sz val="16"/>
      <color theme="4" tint="-0.249977111117893"/>
      <name val="Times New Roman"/>
      <family val="1"/>
    </font>
    <font>
      <b/>
      <i/>
      <sz val="16"/>
      <color rgb="FF00B0F0"/>
      <name val="Times New Roman"/>
      <family val="1"/>
    </font>
    <font>
      <b/>
      <sz val="16"/>
      <color rgb="FF00B0F0"/>
      <name val="Times New Roman"/>
      <family val="1"/>
    </font>
    <font>
      <b/>
      <i/>
      <sz val="16"/>
      <color rgb="FFFFC000"/>
      <name val="Times New Roman"/>
      <family val="1"/>
    </font>
    <font>
      <b/>
      <i/>
      <sz val="14"/>
      <color rgb="FFFFC000"/>
      <name val="Times New Roman"/>
      <family val="1"/>
    </font>
    <font>
      <b/>
      <sz val="18"/>
      <color rgb="FFFFC000"/>
      <name val="Times New Roman"/>
      <family val="1"/>
    </font>
    <font>
      <b/>
      <sz val="14"/>
      <color rgb="FF00B0F0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theme="1"/>
      <name val="Times New Roman"/>
      <family val="1"/>
    </font>
    <font>
      <b/>
      <i/>
      <sz val="18"/>
      <color rgb="FFFFC000"/>
      <name val="Times New Roman"/>
      <family val="1"/>
    </font>
    <font>
      <b/>
      <sz val="12"/>
      <color rgb="FFFF0000"/>
      <name val="Times New Roman"/>
      <family val="1"/>
    </font>
    <font>
      <sz val="14"/>
      <color rgb="FF000000"/>
      <name val="Times New Roman"/>
      <family val="1"/>
    </font>
    <font>
      <sz val="10"/>
      <color indexed="16"/>
      <name val="Arial"/>
      <family val="2"/>
    </font>
    <font>
      <b/>
      <sz val="12"/>
      <color indexed="16"/>
      <name val="Arial"/>
      <family val="2"/>
    </font>
    <font>
      <b/>
      <vertAlign val="superscript"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21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49"/>
      <name val="Arial"/>
      <family val="2"/>
    </font>
    <font>
      <sz val="10"/>
      <color indexed="47"/>
      <name val="Arial"/>
      <family val="2"/>
    </font>
    <font>
      <b/>
      <sz val="10"/>
      <color indexed="16"/>
      <name val="Arial"/>
      <family val="2"/>
    </font>
    <font>
      <b/>
      <sz val="10"/>
      <color indexed="20"/>
      <name val="Arial"/>
      <family val="2"/>
    </font>
    <font>
      <sz val="10"/>
      <color theme="0" tint="-4.9989318521683403E-2"/>
      <name val="Arial"/>
      <family val="2"/>
    </font>
    <font>
      <sz val="10"/>
      <color theme="0" tint="-0.14999847407452621"/>
      <name val="Arial"/>
      <family val="2"/>
    </font>
    <font>
      <sz val="10"/>
      <color theme="0"/>
      <name val="Arial"/>
      <family val="2"/>
    </font>
    <font>
      <sz val="14"/>
      <color theme="4" tint="-0.249977111117893"/>
      <name val="Arial"/>
      <family val="2"/>
    </font>
    <font>
      <b/>
      <sz val="10"/>
      <color theme="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rgb="FFFFC000"/>
      <name val="Arial"/>
      <family val="2"/>
    </font>
    <font>
      <b/>
      <sz val="10"/>
      <color rgb="FFC00000"/>
      <name val="Arial"/>
      <family val="2"/>
    </font>
    <font>
      <sz val="12"/>
      <color indexed="47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sz val="13"/>
      <color indexed="47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4"/>
      <color indexed="17"/>
      <name val="Times New Roman"/>
      <family val="1"/>
    </font>
    <font>
      <b/>
      <sz val="12"/>
      <color indexed="17"/>
      <name val="Times New Roman"/>
      <family val="1"/>
    </font>
    <font>
      <b/>
      <sz val="16"/>
      <color indexed="22"/>
      <name val="Times New Roman"/>
      <family val="1"/>
    </font>
    <font>
      <b/>
      <i/>
      <sz val="16"/>
      <color indexed="22"/>
      <name val="Times New Roman"/>
      <family val="1"/>
    </font>
    <font>
      <sz val="14"/>
      <color indexed="22"/>
      <name val="Times New Roman"/>
      <family val="1"/>
    </font>
    <font>
      <sz val="12"/>
      <color indexed="22"/>
      <name val="Times New Roman"/>
      <family val="1"/>
    </font>
    <font>
      <b/>
      <i/>
      <sz val="14"/>
      <color indexed="14"/>
      <name val="Times New Roman"/>
      <family val="1"/>
    </font>
    <font>
      <sz val="14"/>
      <color indexed="14"/>
      <name val="Times New Roman"/>
      <family val="1"/>
    </font>
    <font>
      <b/>
      <i/>
      <sz val="14"/>
      <color indexed="12"/>
      <name val="Times New Roman"/>
      <family val="1"/>
    </font>
    <font>
      <sz val="14"/>
      <color indexed="12"/>
      <name val="Times New Roman"/>
      <family val="1"/>
    </font>
    <font>
      <b/>
      <i/>
      <sz val="14"/>
      <color indexed="16"/>
      <name val="Times New Roman"/>
      <family val="1"/>
    </font>
    <font>
      <sz val="14"/>
      <color indexed="16"/>
      <name val="Times New Roman"/>
      <family val="1"/>
    </font>
    <font>
      <b/>
      <i/>
      <sz val="14"/>
      <color indexed="17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16"/>
      <name val="Times New Roman"/>
      <family val="1"/>
    </font>
    <font>
      <b/>
      <sz val="12"/>
      <color indexed="14"/>
      <name val="Times New Roman"/>
      <family val="1"/>
    </font>
    <font>
      <sz val="12"/>
      <color theme="0"/>
      <name val="Times New Roman"/>
      <family val="1"/>
    </font>
    <font>
      <sz val="14"/>
      <color theme="0"/>
      <name val="Times New Roman"/>
      <family val="1"/>
    </font>
    <font>
      <sz val="10"/>
      <color theme="1"/>
      <name val="Arial"/>
      <family val="2"/>
    </font>
    <font>
      <b/>
      <sz val="14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sz val="14"/>
      <color theme="9" tint="-0.499984740745262"/>
      <name val="Times New Roman"/>
      <family val="1"/>
    </font>
    <font>
      <b/>
      <sz val="14"/>
      <color theme="6" tint="-0.499984740745262"/>
      <name val="Times New Roman"/>
      <family val="1"/>
    </font>
    <font>
      <sz val="12"/>
      <color theme="0" tint="-0.14999847407452621"/>
      <name val="Times New Roman"/>
      <family val="1"/>
    </font>
    <font>
      <sz val="14"/>
      <color theme="0" tint="-0.14999847407452621"/>
      <name val="Times New Roman"/>
      <family val="1"/>
    </font>
    <font>
      <sz val="10"/>
      <color theme="0" tint="-0.14999847407452621"/>
      <name val="Times New Roman"/>
      <family val="1"/>
    </font>
    <font>
      <sz val="14"/>
      <color theme="8" tint="-0.249977111117893"/>
      <name val="Times New Roman"/>
      <family val="1"/>
    </font>
    <font>
      <sz val="12"/>
      <color theme="2" tint="-9.9978637043366805E-2"/>
      <name val="Times New Roman"/>
      <family val="1"/>
    </font>
    <font>
      <b/>
      <i/>
      <sz val="12"/>
      <name val="Times New Roman"/>
      <family val="1"/>
    </font>
    <font>
      <b/>
      <sz val="12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72"/>
      <name val="Arial"/>
      <family val="2"/>
    </font>
    <font>
      <sz val="11"/>
      <color theme="0"/>
      <name val="Calibri"/>
      <family val="2"/>
      <scheme val="minor"/>
    </font>
    <font>
      <sz val="72"/>
      <color theme="0"/>
      <name val="Arial"/>
      <family val="2"/>
    </font>
    <font>
      <u/>
      <sz val="10"/>
      <color indexed="12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70C0"/>
      <name val="Arial"/>
      <family val="2"/>
    </font>
    <font>
      <sz val="14"/>
      <color rgb="FFFF0000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rgb="FF0070C0"/>
      <name val="Arial"/>
      <family val="2"/>
    </font>
    <font>
      <b/>
      <sz val="12"/>
      <color theme="0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rgb="FF666666"/>
      <name val="Georgia"/>
      <family val="1"/>
    </font>
    <font>
      <sz val="11"/>
      <color rgb="FF666666"/>
      <name val="Georgia"/>
      <family val="1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0"/>
      <color theme="4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sz val="12"/>
      <color rgb="FF0070C0"/>
      <name val="Arial"/>
      <family val="2"/>
    </font>
    <font>
      <b/>
      <sz val="12"/>
      <color theme="2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sz val="16"/>
      <color theme="4" tint="-0.249977111117893"/>
      <name val="Arial"/>
      <family val="2"/>
    </font>
    <font>
      <sz val="16"/>
      <color theme="5" tint="-0.249977111117893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rgb="FFC00000"/>
      <name val="Verdana"/>
      <family val="2"/>
    </font>
    <font>
      <b/>
      <sz val="10"/>
      <color rgb="FF0070C0"/>
      <name val="Verdana"/>
      <family val="2"/>
    </font>
    <font>
      <b/>
      <sz val="10"/>
      <name val="Verdana"/>
      <family val="2"/>
    </font>
    <font>
      <b/>
      <sz val="10"/>
      <color rgb="FF00B050"/>
      <name val="Verdana"/>
      <family val="2"/>
    </font>
    <font>
      <b/>
      <sz val="10"/>
      <color rgb="FFFF0000"/>
      <name val="Verdana"/>
      <family val="2"/>
    </font>
    <font>
      <b/>
      <sz val="11"/>
      <color theme="1"/>
      <name val="Verdana"/>
      <family val="2"/>
    </font>
    <font>
      <b/>
      <sz val="10"/>
      <color theme="2" tint="-0.499984740745262"/>
      <name val="Verdana"/>
      <family val="2"/>
    </font>
    <font>
      <sz val="10"/>
      <color rgb="FF002060"/>
      <name val="Arial"/>
      <family val="2"/>
    </font>
    <font>
      <b/>
      <sz val="10"/>
      <color rgb="FF002060"/>
      <name val="Verdana"/>
      <family val="2"/>
    </font>
    <font>
      <b/>
      <sz val="10"/>
      <color theme="1"/>
      <name val="Verdana"/>
      <family val="2"/>
    </font>
    <font>
      <b/>
      <sz val="10"/>
      <color rgb="FF009644"/>
      <name val="Verdana"/>
      <family val="2"/>
    </font>
    <font>
      <b/>
      <sz val="9"/>
      <color rgb="FF009644"/>
      <name val="Verdana"/>
      <family val="2"/>
    </font>
    <font>
      <sz val="16"/>
      <color rgb="FF0070C0"/>
      <name val="Arial"/>
      <family val="2"/>
    </font>
    <font>
      <vertAlign val="subscript"/>
      <sz val="10"/>
      <color rgb="FF0070C0"/>
      <name val="Arial"/>
      <family val="2"/>
    </font>
    <font>
      <sz val="16"/>
      <color rgb="FFFF0000"/>
      <name val="Arial"/>
      <family val="2"/>
    </font>
    <font>
      <vertAlign val="subscript"/>
      <sz val="10"/>
      <color rgb="FFFF0000"/>
      <name val="Arial"/>
      <family val="2"/>
    </font>
    <font>
      <vertAlign val="subscript"/>
      <sz val="16"/>
      <color rgb="FFFF0000"/>
      <name val="Arial"/>
      <family val="2"/>
    </font>
    <font>
      <vertAlign val="subscript"/>
      <sz val="14"/>
      <color rgb="FF0070C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8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9644"/>
      <name val="Arial"/>
      <family val="2"/>
    </font>
    <font>
      <b/>
      <sz val="10"/>
      <color rgb="FF009644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2" tint="-0.499984740745262"/>
      <name val="Arial"/>
      <family val="2"/>
    </font>
    <font>
      <sz val="10"/>
      <color theme="4" tint="-0.249977111117893"/>
      <name val="Arial"/>
      <family val="2"/>
    </font>
    <font>
      <b/>
      <sz val="10"/>
      <color theme="5" tint="-0.499984740745262"/>
      <name val="Arial"/>
      <family val="2"/>
    </font>
    <font>
      <b/>
      <sz val="11"/>
      <color rgb="FFC00000"/>
      <name val="Calibri"/>
      <family val="2"/>
      <scheme val="minor"/>
    </font>
    <font>
      <sz val="11"/>
      <name val="Arial"/>
      <family val="2"/>
    </font>
    <font>
      <sz val="11"/>
      <color rgb="FFC00000"/>
      <name val="Arial"/>
      <family val="2"/>
    </font>
    <font>
      <sz val="11"/>
      <color rgb="FF009644"/>
      <name val="Arial"/>
      <family val="2"/>
    </font>
    <font>
      <b/>
      <sz val="11"/>
      <color rgb="FF009644"/>
      <name val="Arial"/>
      <family val="2"/>
    </font>
    <font>
      <b/>
      <sz val="11"/>
      <color rgb="FFC0000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70C0"/>
      <name val="Arial"/>
      <family val="2"/>
    </font>
    <font>
      <sz val="11"/>
      <color rgb="FF002060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1"/>
      <color theme="5" tint="-0.499984740745262"/>
      <name val="Arial"/>
      <family val="2"/>
    </font>
    <font>
      <sz val="12"/>
      <name val="Symbol"/>
      <family val="1"/>
      <charset val="2"/>
    </font>
    <font>
      <sz val="12"/>
      <name val="Verdana"/>
      <family val="2"/>
    </font>
    <font>
      <vertAlign val="subscript"/>
      <sz val="12"/>
      <name val="Arial"/>
      <family val="2"/>
    </font>
    <font>
      <b/>
      <sz val="12"/>
      <color rgb="FF009644"/>
      <name val="Arial"/>
      <family val="2"/>
    </font>
    <font>
      <b/>
      <sz val="14"/>
      <color theme="5" tint="-0.499984740745262"/>
      <name val="Arial"/>
      <family val="2"/>
    </font>
    <font>
      <b/>
      <sz val="11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sz val="12"/>
      <color rgb="FFC00000"/>
      <name val="Arial"/>
      <family val="2"/>
    </font>
    <font>
      <b/>
      <sz val="12"/>
      <color rgb="FFFF0000"/>
      <name val="Symbol"/>
      <family val="1"/>
      <charset val="2"/>
    </font>
    <font>
      <b/>
      <sz val="12"/>
      <color rgb="FFFF0000"/>
      <name val="Verdana"/>
      <family val="2"/>
    </font>
    <font>
      <b/>
      <sz val="14"/>
      <name val="Algerian"/>
      <family val="5"/>
    </font>
    <font>
      <b/>
      <sz val="14"/>
      <color rgb="FF009644"/>
      <name val="Algerian"/>
      <family val="5"/>
    </font>
    <font>
      <b/>
      <sz val="14"/>
      <color rgb="FFFF0000"/>
      <name val="Algerian"/>
      <family val="5"/>
    </font>
    <font>
      <sz val="14"/>
      <name val="Aharoni"/>
      <charset val="177"/>
    </font>
    <font>
      <b/>
      <sz val="9"/>
      <color rgb="FF009644"/>
      <name val="Arial"/>
      <family val="2"/>
    </font>
    <font>
      <b/>
      <sz val="11"/>
      <color rgb="FFFF0000"/>
      <name val="Arial"/>
      <family val="2"/>
    </font>
    <font>
      <b/>
      <u/>
      <sz val="11"/>
      <color rgb="FF009644"/>
      <name val="Symbol"/>
      <family val="1"/>
      <charset val="2"/>
    </font>
    <font>
      <b/>
      <u/>
      <sz val="11"/>
      <color rgb="FF009644"/>
      <name val="Verdana"/>
      <family val="2"/>
    </font>
    <font>
      <b/>
      <u/>
      <sz val="11"/>
      <color rgb="FF009644"/>
      <name val="Arial"/>
      <family val="2"/>
    </font>
    <font>
      <b/>
      <u/>
      <vertAlign val="subscript"/>
      <sz val="11"/>
      <color rgb="FF009644"/>
      <name val="Arial"/>
      <family val="2"/>
    </font>
    <font>
      <b/>
      <sz val="11"/>
      <color rgb="FFFF0000"/>
      <name val="Symbol"/>
      <family val="1"/>
      <charset val="2"/>
    </font>
    <font>
      <b/>
      <sz val="11"/>
      <color rgb="FFFF0000"/>
      <name val="Verdana"/>
      <family val="2"/>
    </font>
    <font>
      <b/>
      <vertAlign val="subscript"/>
      <sz val="11"/>
      <color rgb="FFFF0000"/>
      <name val="Arial"/>
      <family val="2"/>
    </font>
    <font>
      <sz val="9"/>
      <color rgb="FFC00000"/>
      <name val="Arial"/>
      <family val="2"/>
    </font>
    <font>
      <sz val="12"/>
      <color theme="5" tint="-0.499984740745262"/>
      <name val="Arial"/>
      <family val="2"/>
    </font>
    <font>
      <sz val="12"/>
      <color theme="3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rgb="FF002060"/>
      <name val="Arial"/>
      <family val="2"/>
    </font>
    <font>
      <sz val="10"/>
      <color theme="3" tint="-0.249977111117893"/>
      <name val="Arial"/>
      <family val="2"/>
    </font>
    <font>
      <b/>
      <sz val="11"/>
      <color rgb="FF00B050"/>
      <name val="Arial"/>
      <family val="2"/>
    </font>
    <font>
      <b/>
      <sz val="11"/>
      <color rgb="FF009644"/>
      <name val="Symbol"/>
      <family val="1"/>
      <charset val="2"/>
    </font>
    <font>
      <b/>
      <sz val="11"/>
      <color rgb="FF009644"/>
      <name val="Verdana"/>
      <family val="2"/>
    </font>
    <font>
      <b/>
      <vertAlign val="subscript"/>
      <sz val="11"/>
      <color rgb="FF009644"/>
      <name val="Arial"/>
      <family val="2"/>
    </font>
    <font>
      <b/>
      <sz val="10"/>
      <color theme="3"/>
      <name val="Verdana"/>
      <family val="2"/>
    </font>
    <font>
      <sz val="10"/>
      <color rgb="FFFFFF99"/>
      <name val="Arial"/>
    </font>
    <font>
      <sz val="11"/>
      <color rgb="FFFFFF9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A8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36">
    <xf numFmtId="0" fontId="0" fillId="0" borderId="0" xfId="0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6" fillId="2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wrapText="1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52" fillId="5" borderId="1" xfId="0" applyFont="1" applyFill="1" applyBorder="1" applyAlignment="1">
      <alignment horizontal="center" vertical="center"/>
    </xf>
    <xf numFmtId="0" fontId="53" fillId="3" borderId="0" xfId="0" applyFont="1" applyFill="1"/>
    <xf numFmtId="0" fontId="6" fillId="3" borderId="2" xfId="0" applyFont="1" applyFill="1" applyBorder="1"/>
    <xf numFmtId="0" fontId="6" fillId="3" borderId="3" xfId="0" applyFont="1" applyFill="1" applyBorder="1"/>
    <xf numFmtId="0" fontId="13" fillId="3" borderId="0" xfId="0" applyFont="1" applyFill="1" applyBorder="1" applyAlignment="1">
      <alignment horizontal="left"/>
    </xf>
    <xf numFmtId="0" fontId="54" fillId="3" borderId="4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0" xfId="0" applyFont="1" applyFill="1" applyBorder="1"/>
    <xf numFmtId="0" fontId="6" fillId="3" borderId="4" xfId="0" applyFont="1" applyFill="1" applyBorder="1"/>
    <xf numFmtId="0" fontId="13" fillId="3" borderId="0" xfId="0" applyFont="1" applyFill="1" applyBorder="1" applyAlignment="1"/>
    <xf numFmtId="0" fontId="52" fillId="3" borderId="0" xfId="0" applyFont="1" applyFill="1" applyBorder="1" applyAlignment="1">
      <alignment horizontal="left"/>
    </xf>
    <xf numFmtId="0" fontId="54" fillId="3" borderId="0" xfId="0" applyFont="1" applyFill="1" applyBorder="1" applyAlignment="1">
      <alignment horizontal="right"/>
    </xf>
    <xf numFmtId="0" fontId="54" fillId="3" borderId="0" xfId="0" applyFont="1" applyFill="1" applyBorder="1" applyAlignment="1">
      <alignment horizontal="left"/>
    </xf>
    <xf numFmtId="0" fontId="54" fillId="3" borderId="6" xfId="0" applyFont="1" applyFill="1" applyBorder="1" applyAlignment="1">
      <alignment horizontal="left"/>
    </xf>
    <xf numFmtId="0" fontId="55" fillId="3" borderId="7" xfId="0" applyFont="1" applyFill="1" applyBorder="1" applyAlignment="1">
      <alignment horizontal="right"/>
    </xf>
    <xf numFmtId="0" fontId="56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52" fillId="3" borderId="4" xfId="0" applyFont="1" applyFill="1" applyBorder="1" applyAlignment="1">
      <alignment horizontal="right"/>
    </xf>
    <xf numFmtId="0" fontId="52" fillId="3" borderId="5" xfId="0" applyFont="1" applyFill="1" applyBorder="1" applyAlignment="1">
      <alignment horizontal="left"/>
    </xf>
    <xf numFmtId="0" fontId="13" fillId="3" borderId="0" xfId="0" applyFont="1" applyFill="1" applyAlignment="1">
      <alignment horizontal="justify" vertical="center" wrapText="1"/>
    </xf>
    <xf numFmtId="0" fontId="6" fillId="3" borderId="8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6" fillId="3" borderId="8" xfId="0" applyFont="1" applyFill="1" applyBorder="1" applyAlignment="1">
      <alignment horizontal="left" vertical="top"/>
    </xf>
    <xf numFmtId="0" fontId="57" fillId="3" borderId="9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top"/>
    </xf>
    <xf numFmtId="0" fontId="6" fillId="3" borderId="6" xfId="0" applyFont="1" applyFill="1" applyBorder="1" applyAlignment="1"/>
    <xf numFmtId="0" fontId="58" fillId="3" borderId="7" xfId="0" applyFont="1" applyFill="1" applyBorder="1" applyAlignment="1">
      <alignment horizontal="right" wrapText="1"/>
    </xf>
    <xf numFmtId="0" fontId="13" fillId="3" borderId="4" xfId="0" applyFont="1" applyFill="1" applyBorder="1" applyAlignment="1"/>
    <xf numFmtId="0" fontId="6" fillId="3" borderId="5" xfId="0" applyFont="1" applyFill="1" applyBorder="1" applyAlignment="1"/>
    <xf numFmtId="0" fontId="6" fillId="3" borderId="0" xfId="0" applyFont="1" applyFill="1" applyAlignment="1"/>
    <xf numFmtId="0" fontId="13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/>
    <xf numFmtId="0" fontId="59" fillId="3" borderId="9" xfId="0" applyFont="1" applyFill="1" applyBorder="1" applyAlignment="1">
      <alignment horizontal="right"/>
    </xf>
    <xf numFmtId="0" fontId="60" fillId="3" borderId="0" xfId="0" applyFont="1" applyFill="1" applyBorder="1" applyAlignment="1">
      <alignment horizontal="left"/>
    </xf>
    <xf numFmtId="0" fontId="6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6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63" fillId="3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/>
    </xf>
    <xf numFmtId="0" fontId="64" fillId="3" borderId="0" xfId="0" applyFont="1" applyFill="1" applyAlignment="1">
      <alignment horizontal="left"/>
    </xf>
    <xf numFmtId="0" fontId="65" fillId="3" borderId="9" xfId="0" applyFont="1" applyFill="1" applyBorder="1" applyAlignment="1">
      <alignment horizontal="right"/>
    </xf>
    <xf numFmtId="0" fontId="64" fillId="3" borderId="6" xfId="0" applyFont="1" applyFill="1" applyBorder="1" applyAlignment="1">
      <alignment horizontal="left"/>
    </xf>
    <xf numFmtId="0" fontId="64" fillId="3" borderId="4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center" vertical="top"/>
    </xf>
    <xf numFmtId="0" fontId="49" fillId="3" borderId="4" xfId="0" applyFont="1" applyFill="1" applyBorder="1" applyAlignment="1">
      <alignment horizontal="left"/>
    </xf>
    <xf numFmtId="0" fontId="66" fillId="3" borderId="4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37" fillId="3" borderId="7" xfId="0" applyFont="1" applyFill="1" applyBorder="1"/>
    <xf numFmtId="0" fontId="38" fillId="3" borderId="0" xfId="0" applyFont="1" applyFill="1" applyAlignment="1">
      <alignment vertical="center"/>
    </xf>
    <xf numFmtId="0" fontId="67" fillId="3" borderId="0" xfId="0" applyFont="1" applyFill="1"/>
    <xf numFmtId="0" fontId="68" fillId="3" borderId="0" xfId="0" applyFont="1" applyFill="1" applyAlignment="1">
      <alignment vertical="center"/>
    </xf>
    <xf numFmtId="0" fontId="67" fillId="3" borderId="0" xfId="0" applyFont="1" applyFill="1" applyAlignment="1"/>
    <xf numFmtId="0" fontId="68" fillId="3" borderId="0" xfId="0" applyFont="1" applyFill="1" applyBorder="1"/>
    <xf numFmtId="0" fontId="67" fillId="3" borderId="0" xfId="0" applyFont="1" applyFill="1" applyBorder="1"/>
    <xf numFmtId="0" fontId="24" fillId="3" borderId="2" xfId="0" applyFont="1" applyFill="1" applyBorder="1" applyAlignment="1">
      <alignment vertical="top"/>
    </xf>
    <xf numFmtId="0" fontId="13" fillId="3" borderId="0" xfId="0" quotePrefix="1" applyFont="1" applyFill="1" applyBorder="1" applyAlignment="1">
      <alignment horizontal="left"/>
    </xf>
    <xf numFmtId="0" fontId="50" fillId="3" borderId="9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left"/>
    </xf>
    <xf numFmtId="0" fontId="42" fillId="3" borderId="0" xfId="0" applyFont="1" applyFill="1" applyBorder="1" applyAlignment="1">
      <alignment horizontal="center"/>
    </xf>
    <xf numFmtId="0" fontId="70" fillId="3" borderId="6" xfId="0" applyFont="1" applyFill="1" applyBorder="1" applyAlignment="1"/>
    <xf numFmtId="0" fontId="71" fillId="3" borderId="0" xfId="0" applyFont="1" applyFill="1" applyBorder="1" applyAlignment="1">
      <alignment horizontal="left"/>
    </xf>
    <xf numFmtId="0" fontId="56" fillId="3" borderId="0" xfId="0" applyFont="1" applyFill="1" applyBorder="1" applyAlignment="1">
      <alignment horizontal="left"/>
    </xf>
    <xf numFmtId="0" fontId="50" fillId="3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/>
    <xf numFmtId="0" fontId="52" fillId="3" borderId="0" xfId="0" applyFont="1" applyFill="1" applyBorder="1" applyAlignment="1">
      <alignment horizontal="right"/>
    </xf>
    <xf numFmtId="0" fontId="6" fillId="3" borderId="10" xfId="0" applyFont="1" applyFill="1" applyBorder="1"/>
    <xf numFmtId="0" fontId="70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vertical="center"/>
    </xf>
    <xf numFmtId="0" fontId="13" fillId="3" borderId="11" xfId="0" quotePrefix="1" applyFont="1" applyFill="1" applyBorder="1" applyAlignment="1">
      <alignment horizontal="left"/>
    </xf>
    <xf numFmtId="0" fontId="56" fillId="3" borderId="11" xfId="0" applyFont="1" applyFill="1" applyBorder="1" applyAlignment="1">
      <alignment horizontal="left"/>
    </xf>
    <xf numFmtId="0" fontId="42" fillId="3" borderId="11" xfId="0" applyFont="1" applyFill="1" applyBorder="1" applyAlignment="1">
      <alignment horizontal="center"/>
    </xf>
    <xf numFmtId="0" fontId="70" fillId="3" borderId="11" xfId="0" applyFont="1" applyFill="1" applyBorder="1" applyAlignment="1">
      <alignment horizontal="right"/>
    </xf>
    <xf numFmtId="0" fontId="72" fillId="3" borderId="0" xfId="0" quotePrefix="1" applyFont="1" applyFill="1" applyBorder="1" applyAlignment="1">
      <alignment horizontal="left"/>
    </xf>
    <xf numFmtId="0" fontId="6" fillId="3" borderId="8" xfId="0" applyFont="1" applyFill="1" applyBorder="1"/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52" fillId="3" borderId="1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0" xfId="0" applyFont="1" applyFill="1" applyBorder="1"/>
    <xf numFmtId="0" fontId="73" fillId="3" borderId="0" xfId="0" quotePrefix="1" applyFont="1" applyFill="1" applyBorder="1" applyAlignment="1">
      <alignment horizontal="left"/>
    </xf>
    <xf numFmtId="0" fontId="69" fillId="3" borderId="0" xfId="0" applyFont="1" applyFill="1" applyBorder="1" applyAlignment="1">
      <alignment horizontal="right"/>
    </xf>
    <xf numFmtId="0" fontId="74" fillId="3" borderId="0" xfId="0" applyFont="1" applyFill="1" applyBorder="1" applyAlignment="1">
      <alignment horizontal="left"/>
    </xf>
    <xf numFmtId="0" fontId="46" fillId="3" borderId="0" xfId="0" applyFont="1" applyFill="1" applyBorder="1" applyAlignment="1">
      <alignment horizontal="center" vertical="center"/>
    </xf>
    <xf numFmtId="0" fontId="54" fillId="3" borderId="13" xfId="0" applyFont="1" applyFill="1" applyBorder="1" applyAlignment="1">
      <alignment horizontal="left"/>
    </xf>
    <xf numFmtId="0" fontId="52" fillId="3" borderId="13" xfId="0" applyFont="1" applyFill="1" applyBorder="1" applyAlignment="1">
      <alignment horizontal="left"/>
    </xf>
    <xf numFmtId="0" fontId="6" fillId="3" borderId="13" xfId="0" applyFont="1" applyFill="1" applyBorder="1"/>
    <xf numFmtId="0" fontId="6" fillId="3" borderId="14" xfId="0" applyFont="1" applyFill="1" applyBorder="1"/>
    <xf numFmtId="0" fontId="74" fillId="3" borderId="3" xfId="0" applyFont="1" applyFill="1" applyBorder="1" applyAlignment="1">
      <alignment horizontal="left"/>
    </xf>
    <xf numFmtId="0" fontId="42" fillId="3" borderId="6" xfId="0" applyFont="1" applyFill="1" applyBorder="1" applyAlignment="1">
      <alignment horizontal="center"/>
    </xf>
    <xf numFmtId="0" fontId="6" fillId="3" borderId="15" xfId="0" applyFont="1" applyFill="1" applyBorder="1"/>
    <xf numFmtId="0" fontId="71" fillId="3" borderId="4" xfId="0" applyFont="1" applyFill="1" applyBorder="1" applyAlignment="1">
      <alignment horizontal="right"/>
    </xf>
    <xf numFmtId="0" fontId="75" fillId="3" borderId="4" xfId="0" applyFont="1" applyFill="1" applyBorder="1" applyAlignment="1">
      <alignment horizontal="left"/>
    </xf>
    <xf numFmtId="0" fontId="8" fillId="3" borderId="0" xfId="0" applyFont="1" applyFill="1" applyBorder="1" applyAlignment="1">
      <alignment wrapText="1"/>
    </xf>
    <xf numFmtId="0" fontId="6" fillId="3" borderId="16" xfId="0" applyFont="1" applyFill="1" applyBorder="1" applyAlignment="1"/>
    <xf numFmtId="0" fontId="8" fillId="3" borderId="10" xfId="0" applyFont="1" applyFill="1" applyBorder="1" applyAlignment="1">
      <alignment vertical="top"/>
    </xf>
    <xf numFmtId="0" fontId="6" fillId="3" borderId="10" xfId="0" applyFont="1" applyFill="1" applyBorder="1" applyAlignment="1"/>
    <xf numFmtId="0" fontId="76" fillId="6" borderId="0" xfId="0" applyFont="1" applyFill="1" applyBorder="1"/>
    <xf numFmtId="0" fontId="76" fillId="6" borderId="0" xfId="0" applyFont="1" applyFill="1" applyBorder="1" applyAlignment="1">
      <alignment horizontal="center"/>
    </xf>
    <xf numFmtId="0" fontId="6" fillId="6" borderId="0" xfId="0" applyFont="1" applyFill="1" applyBorder="1"/>
    <xf numFmtId="0" fontId="67" fillId="6" borderId="0" xfId="0" applyFont="1" applyFill="1" applyBorder="1"/>
    <xf numFmtId="0" fontId="68" fillId="6" borderId="0" xfId="0" applyFont="1" applyFill="1" applyBorder="1" applyAlignment="1">
      <alignment vertical="center"/>
    </xf>
    <xf numFmtId="0" fontId="67" fillId="6" borderId="0" xfId="0" applyFont="1" applyFill="1" applyBorder="1" applyAlignment="1"/>
    <xf numFmtId="0" fontId="6" fillId="6" borderId="0" xfId="0" applyFont="1" applyFill="1" applyBorder="1" applyAlignment="1"/>
    <xf numFmtId="0" fontId="68" fillId="6" borderId="0" xfId="0" applyFont="1" applyFill="1" applyBorder="1" applyAlignment="1">
      <alignment wrapText="1"/>
    </xf>
    <xf numFmtId="0" fontId="8" fillId="6" borderId="0" xfId="0" applyFont="1" applyFill="1" applyBorder="1" applyAlignment="1">
      <alignment vertical="top"/>
    </xf>
    <xf numFmtId="0" fontId="68" fillId="6" borderId="0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top"/>
    </xf>
    <xf numFmtId="0" fontId="77" fillId="7" borderId="18" xfId="0" applyFont="1" applyFill="1" applyBorder="1" applyAlignment="1">
      <alignment horizontal="left"/>
    </xf>
    <xf numFmtId="0" fontId="8" fillId="7" borderId="19" xfId="0" applyFont="1" applyFill="1" applyBorder="1" applyAlignment="1">
      <alignment vertical="top"/>
    </xf>
    <xf numFmtId="0" fontId="77" fillId="7" borderId="16" xfId="0" applyFont="1" applyFill="1" applyBorder="1" applyAlignment="1">
      <alignment horizontal="center"/>
    </xf>
    <xf numFmtId="0" fontId="6" fillId="3" borderId="16" xfId="0" applyFont="1" applyFill="1" applyBorder="1"/>
    <xf numFmtId="0" fontId="6" fillId="3" borderId="2" xfId="0" applyFont="1" applyFill="1" applyBorder="1" applyAlignment="1"/>
    <xf numFmtId="0" fontId="77" fillId="7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21" xfId="0" applyFont="1" applyFill="1" applyBorder="1"/>
    <xf numFmtId="0" fontId="6" fillId="3" borderId="15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78" fillId="3" borderId="9" xfId="0" quotePrefix="1" applyFont="1" applyFill="1" applyBorder="1" applyAlignment="1">
      <alignment horizontal="right"/>
    </xf>
    <xf numFmtId="0" fontId="45" fillId="3" borderId="0" xfId="0" applyFont="1" applyFill="1" applyBorder="1" applyAlignment="1">
      <alignment horizontal="center"/>
    </xf>
    <xf numFmtId="0" fontId="37" fillId="3" borderId="9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6" fillId="3" borderId="22" xfId="0" applyFont="1" applyFill="1" applyBorder="1"/>
    <xf numFmtId="0" fontId="6" fillId="3" borderId="23" xfId="0" applyFont="1" applyFill="1" applyBorder="1"/>
    <xf numFmtId="0" fontId="6" fillId="3" borderId="24" xfId="0" applyFont="1" applyFill="1" applyBorder="1"/>
    <xf numFmtId="0" fontId="79" fillId="7" borderId="3" xfId="0" applyFont="1" applyFill="1" applyBorder="1" applyAlignment="1">
      <alignment horizontal="center"/>
    </xf>
    <xf numFmtId="0" fontId="79" fillId="7" borderId="22" xfId="0" applyFont="1" applyFill="1" applyBorder="1" applyAlignment="1">
      <alignment horizontal="left"/>
    </xf>
    <xf numFmtId="0" fontId="67" fillId="7" borderId="23" xfId="0" applyFont="1" applyFill="1" applyBorder="1"/>
    <xf numFmtId="0" fontId="67" fillId="3" borderId="19" xfId="0" applyFont="1" applyFill="1" applyBorder="1" applyAlignment="1">
      <alignment horizontal="center"/>
    </xf>
    <xf numFmtId="0" fontId="0" fillId="8" borderId="0" xfId="0" applyFill="1"/>
    <xf numFmtId="0" fontId="2" fillId="8" borderId="0" xfId="1" applyFill="1" applyAlignment="1" applyProtection="1"/>
    <xf numFmtId="0" fontId="3" fillId="8" borderId="0" xfId="0" applyFont="1" applyFill="1"/>
    <xf numFmtId="0" fontId="6" fillId="8" borderId="0" xfId="0" applyFont="1" applyFill="1"/>
    <xf numFmtId="0" fontId="80" fillId="8" borderId="0" xfId="0" applyFont="1" applyFill="1"/>
    <xf numFmtId="0" fontId="81" fillId="3" borderId="0" xfId="0" applyFont="1" applyFill="1"/>
    <xf numFmtId="0" fontId="82" fillId="3" borderId="0" xfId="0" applyFont="1" applyFill="1"/>
    <xf numFmtId="0" fontId="84" fillId="3" borderId="0" xfId="0" applyFont="1" applyFill="1" applyAlignment="1">
      <alignment horizontal="right"/>
    </xf>
    <xf numFmtId="0" fontId="85" fillId="3" borderId="27" xfId="0" applyFont="1" applyFill="1" applyBorder="1" applyAlignment="1">
      <alignment horizontal="center"/>
    </xf>
    <xf numFmtId="0" fontId="86" fillId="3" borderId="0" xfId="0" applyFont="1" applyFill="1" applyAlignment="1">
      <alignment horizontal="right"/>
    </xf>
    <xf numFmtId="0" fontId="87" fillId="3" borderId="0" xfId="0" applyFont="1" applyFill="1" applyAlignment="1">
      <alignment horizontal="right"/>
    </xf>
    <xf numFmtId="0" fontId="88" fillId="3" borderId="27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89" fillId="3" borderId="0" xfId="0" applyFont="1" applyFill="1"/>
    <xf numFmtId="0" fontId="85" fillId="3" borderId="0" xfId="0" applyFont="1" applyFill="1"/>
    <xf numFmtId="0" fontId="90" fillId="3" borderId="0" xfId="0" applyFont="1" applyFill="1"/>
    <xf numFmtId="0" fontId="91" fillId="3" borderId="0" xfId="0" applyFont="1" applyFill="1" applyAlignment="1">
      <alignment horizontal="center"/>
    </xf>
    <xf numFmtId="0" fontId="0" fillId="9" borderId="0" xfId="0" applyFill="1"/>
    <xf numFmtId="0" fontId="0" fillId="10" borderId="0" xfId="0" applyFill="1"/>
    <xf numFmtId="0" fontId="84" fillId="8" borderId="27" xfId="0" applyFont="1" applyFill="1" applyBorder="1" applyAlignment="1">
      <alignment horizontal="center"/>
    </xf>
    <xf numFmtId="0" fontId="87" fillId="8" borderId="27" xfId="0" applyFont="1" applyFill="1" applyBorder="1" applyAlignment="1">
      <alignment horizontal="center"/>
    </xf>
    <xf numFmtId="0" fontId="94" fillId="3" borderId="0" xfId="0" applyFont="1" applyFill="1" applyAlignment="1">
      <alignment horizontal="right"/>
    </xf>
    <xf numFmtId="0" fontId="95" fillId="3" borderId="0" xfId="0" applyFont="1" applyFill="1" applyAlignment="1">
      <alignment horizontal="left"/>
    </xf>
    <xf numFmtId="0" fontId="95" fillId="3" borderId="0" xfId="0" applyFont="1" applyFill="1" applyAlignment="1">
      <alignment horizontal="right"/>
    </xf>
    <xf numFmtId="0" fontId="88" fillId="3" borderId="27" xfId="0" applyFont="1" applyFill="1" applyBorder="1" applyAlignment="1">
      <alignment horizontal="left"/>
    </xf>
    <xf numFmtId="0" fontId="99" fillId="11" borderId="27" xfId="0" applyFont="1" applyFill="1" applyBorder="1" applyAlignment="1">
      <alignment horizontal="center"/>
    </xf>
    <xf numFmtId="0" fontId="97" fillId="3" borderId="27" xfId="0" applyFont="1" applyFill="1" applyBorder="1" applyAlignment="1">
      <alignment horizontal="center" wrapText="1"/>
    </xf>
    <xf numFmtId="0" fontId="100" fillId="3" borderId="0" xfId="0" applyFont="1" applyFill="1"/>
    <xf numFmtId="0" fontId="101" fillId="3" borderId="16" xfId="0" applyFont="1" applyFill="1" applyBorder="1"/>
    <xf numFmtId="0" fontId="101" fillId="3" borderId="29" xfId="0" applyFont="1" applyFill="1" applyBorder="1"/>
    <xf numFmtId="0" fontId="99" fillId="3" borderId="17" xfId="0" applyFont="1" applyFill="1" applyBorder="1"/>
    <xf numFmtId="0" fontId="99" fillId="3" borderId="28" xfId="0" applyFont="1" applyFill="1" applyBorder="1" applyAlignment="1">
      <alignment horizontal="center"/>
    </xf>
    <xf numFmtId="0" fontId="99" fillId="3" borderId="28" xfId="0" applyFont="1" applyFill="1" applyBorder="1"/>
    <xf numFmtId="0" fontId="99" fillId="3" borderId="17" xfId="0" applyFont="1" applyFill="1" applyBorder="1" applyAlignment="1">
      <alignment horizontal="left"/>
    </xf>
    <xf numFmtId="0" fontId="99" fillId="3" borderId="25" xfId="0" applyFont="1" applyFill="1" applyBorder="1"/>
    <xf numFmtId="0" fontId="99" fillId="3" borderId="11" xfId="0" applyFont="1" applyFill="1" applyBorder="1"/>
    <xf numFmtId="0" fontId="99" fillId="3" borderId="25" xfId="0" applyFont="1" applyFill="1" applyBorder="1" applyAlignment="1">
      <alignment horizontal="left"/>
    </xf>
    <xf numFmtId="0" fontId="88" fillId="3" borderId="18" xfId="0" applyFont="1" applyFill="1" applyBorder="1"/>
    <xf numFmtId="0" fontId="0" fillId="3" borderId="26" xfId="0" applyFill="1" applyBorder="1"/>
    <xf numFmtId="0" fontId="0" fillId="3" borderId="19" xfId="0" applyFill="1" applyBorder="1"/>
    <xf numFmtId="0" fontId="92" fillId="3" borderId="18" xfId="0" applyFont="1" applyFill="1" applyBorder="1"/>
    <xf numFmtId="0" fontId="85" fillId="3" borderId="30" xfId="0" applyFont="1" applyFill="1" applyBorder="1" applyAlignment="1">
      <alignment horizontal="center"/>
    </xf>
    <xf numFmtId="0" fontId="88" fillId="3" borderId="30" xfId="0" applyFont="1" applyFill="1" applyBorder="1" applyAlignment="1">
      <alignment horizontal="center"/>
    </xf>
    <xf numFmtId="0" fontId="103" fillId="3" borderId="17" xfId="0" applyFont="1" applyFill="1" applyBorder="1" applyAlignment="1">
      <alignment horizontal="left"/>
    </xf>
    <xf numFmtId="0" fontId="103" fillId="3" borderId="28" xfId="0" applyFont="1" applyFill="1" applyBorder="1"/>
    <xf numFmtId="0" fontId="103" fillId="3" borderId="16" xfId="0" applyFont="1" applyFill="1" applyBorder="1"/>
    <xf numFmtId="0" fontId="103" fillId="3" borderId="13" xfId="0" applyFont="1" applyFill="1" applyBorder="1" applyAlignment="1">
      <alignment horizontal="left"/>
    </xf>
    <xf numFmtId="0" fontId="103" fillId="3" borderId="0" xfId="0" applyFont="1" applyFill="1" applyBorder="1" applyAlignment="1">
      <alignment horizontal="left"/>
    </xf>
    <xf numFmtId="0" fontId="103" fillId="3" borderId="10" xfId="0" applyFont="1" applyFill="1" applyBorder="1"/>
    <xf numFmtId="0" fontId="103" fillId="3" borderId="0" xfId="0" applyFont="1" applyFill="1" applyBorder="1"/>
    <xf numFmtId="0" fontId="103" fillId="3" borderId="13" xfId="0" applyFont="1" applyFill="1" applyBorder="1"/>
    <xf numFmtId="0" fontId="103" fillId="3" borderId="25" xfId="0" applyFont="1" applyFill="1" applyBorder="1"/>
    <xf numFmtId="0" fontId="103" fillId="3" borderId="11" xfId="0" applyFont="1" applyFill="1" applyBorder="1"/>
    <xf numFmtId="0" fontId="103" fillId="3" borderId="29" xfId="0" applyFont="1" applyFill="1" applyBorder="1"/>
    <xf numFmtId="0" fontId="0" fillId="2" borderId="0" xfId="0" applyFill="1"/>
    <xf numFmtId="0" fontId="4" fillId="12" borderId="0" xfId="0" applyFont="1" applyFill="1" applyBorder="1" applyAlignment="1">
      <alignment horizontal="center"/>
    </xf>
    <xf numFmtId="0" fontId="4" fillId="12" borderId="0" xfId="0" applyFont="1" applyFill="1"/>
    <xf numFmtId="0" fontId="4" fillId="12" borderId="0" xfId="0" applyFont="1" applyFill="1" applyAlignment="1">
      <alignment horizontal="center"/>
    </xf>
    <xf numFmtId="0" fontId="0" fillId="12" borderId="0" xfId="0" applyFill="1"/>
    <xf numFmtId="0" fontId="106" fillId="12" borderId="0" xfId="0" applyFont="1" applyFill="1"/>
    <xf numFmtId="0" fontId="106" fillId="0" borderId="0" xfId="0" applyFont="1"/>
    <xf numFmtId="0" fontId="110" fillId="12" borderId="0" xfId="0" applyFont="1" applyFill="1"/>
    <xf numFmtId="0" fontId="110" fillId="0" borderId="0" xfId="0" applyFont="1"/>
    <xf numFmtId="0" fontId="116" fillId="12" borderId="0" xfId="0" applyFont="1" applyFill="1"/>
    <xf numFmtId="0" fontId="116" fillId="2" borderId="0" xfId="0" applyFont="1" applyFill="1"/>
    <xf numFmtId="0" fontId="102" fillId="0" borderId="0" xfId="0" applyFont="1"/>
    <xf numFmtId="0" fontId="104" fillId="3" borderId="0" xfId="0" applyFont="1" applyFill="1"/>
    <xf numFmtId="0" fontId="38" fillId="3" borderId="0" xfId="0" applyFont="1" applyFill="1" applyBorder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06" fillId="3" borderId="0" xfId="0" applyFont="1" applyFill="1" applyBorder="1"/>
    <xf numFmtId="0" fontId="106" fillId="3" borderId="0" xfId="0" applyFont="1" applyFill="1" applyBorder="1" applyAlignment="1">
      <alignment horizontal="center"/>
    </xf>
    <xf numFmtId="0" fontId="107" fillId="3" borderId="0" xfId="0" applyFont="1" applyFill="1" applyBorder="1"/>
    <xf numFmtId="0" fontId="109" fillId="3" borderId="0" xfId="0" applyFont="1" applyFill="1" applyBorder="1"/>
    <xf numFmtId="0" fontId="2" fillId="3" borderId="0" xfId="1" applyFill="1" applyBorder="1" applyAlignment="1" applyProtection="1"/>
    <xf numFmtId="0" fontId="110" fillId="3" borderId="0" xfId="0" applyFont="1" applyFill="1" applyBorder="1"/>
    <xf numFmtId="0" fontId="2" fillId="3" borderId="0" xfId="1" applyFill="1" applyBorder="1" applyAlignment="1" applyProtection="1">
      <alignment horizontal="left"/>
    </xf>
    <xf numFmtId="0" fontId="47" fillId="3" borderId="0" xfId="0" applyFont="1" applyFill="1" applyBorder="1"/>
    <xf numFmtId="0" fontId="47" fillId="3" borderId="0" xfId="0" applyFont="1" applyFill="1" applyBorder="1" applyAlignment="1">
      <alignment horizontal="center"/>
    </xf>
    <xf numFmtId="0" fontId="104" fillId="3" borderId="0" xfId="0" applyFont="1" applyFill="1" applyBorder="1"/>
    <xf numFmtId="0" fontId="106" fillId="3" borderId="0" xfId="0" applyFont="1" applyFill="1"/>
    <xf numFmtId="0" fontId="105" fillId="3" borderId="0" xfId="0" applyFont="1" applyFill="1"/>
    <xf numFmtId="0" fontId="111" fillId="3" borderId="0" xfId="0" applyFont="1" applyFill="1" applyBorder="1" applyAlignment="1">
      <alignment horizontal="center"/>
    </xf>
    <xf numFmtId="0" fontId="112" fillId="3" borderId="0" xfId="0" applyFont="1" applyFill="1"/>
    <xf numFmtId="0" fontId="112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/>
    </xf>
    <xf numFmtId="0" fontId="46" fillId="3" borderId="0" xfId="0" applyFont="1" applyFill="1"/>
    <xf numFmtId="0" fontId="42" fillId="3" borderId="0" xfId="0" applyFont="1" applyFill="1" applyAlignment="1">
      <alignment horizontal="right"/>
    </xf>
    <xf numFmtId="0" fontId="41" fillId="3" borderId="0" xfId="0" applyFont="1" applyFill="1"/>
    <xf numFmtId="0" fontId="24" fillId="3" borderId="0" xfId="0" applyFont="1" applyFill="1" applyAlignment="1">
      <alignment horizontal="right"/>
    </xf>
    <xf numFmtId="0" fontId="47" fillId="3" borderId="0" xfId="0" applyFont="1" applyFill="1" applyAlignment="1">
      <alignment horizontal="center"/>
    </xf>
    <xf numFmtId="0" fontId="42" fillId="3" borderId="0" xfId="0" applyFont="1" applyFill="1" applyBorder="1" applyAlignment="1">
      <alignment horizontal="left"/>
    </xf>
    <xf numFmtId="0" fontId="47" fillId="3" borderId="0" xfId="0" applyFont="1" applyFill="1"/>
    <xf numFmtId="0" fontId="113" fillId="3" borderId="0" xfId="0" applyFont="1" applyFill="1" applyAlignment="1">
      <alignment horizontal="right"/>
    </xf>
    <xf numFmtId="0" fontId="113" fillId="3" borderId="0" xfId="0" applyFont="1" applyFill="1"/>
    <xf numFmtId="0" fontId="114" fillId="3" borderId="0" xfId="0" applyFont="1" applyFill="1" applyAlignment="1">
      <alignment horizontal="right"/>
    </xf>
    <xf numFmtId="0" fontId="113" fillId="3" borderId="0" xfId="0" applyFont="1" applyFill="1" applyAlignment="1">
      <alignment horizontal="center"/>
    </xf>
    <xf numFmtId="0" fontId="113" fillId="3" borderId="0" xfId="0" applyFont="1" applyFill="1" applyBorder="1" applyAlignment="1">
      <alignment horizontal="center"/>
    </xf>
    <xf numFmtId="0" fontId="115" fillId="3" borderId="0" xfId="0" applyFont="1" applyFill="1" applyBorder="1" applyAlignment="1">
      <alignment horizontal="center"/>
    </xf>
    <xf numFmtId="0" fontId="115" fillId="3" borderId="0" xfId="0" applyFont="1" applyFill="1"/>
    <xf numFmtId="0" fontId="115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105" fillId="3" borderId="18" xfId="0" applyFont="1" applyFill="1" applyBorder="1" applyAlignment="1">
      <alignment horizontal="center"/>
    </xf>
    <xf numFmtId="0" fontId="48" fillId="3" borderId="18" xfId="0" applyFont="1" applyFill="1" applyBorder="1" applyAlignment="1">
      <alignment horizontal="center"/>
    </xf>
    <xf numFmtId="0" fontId="41" fillId="3" borderId="19" xfId="0" applyFont="1" applyFill="1" applyBorder="1" applyAlignment="1">
      <alignment horizontal="center"/>
    </xf>
    <xf numFmtId="0" fontId="4" fillId="10" borderId="0" xfId="0" applyFont="1" applyFill="1"/>
    <xf numFmtId="0" fontId="104" fillId="10" borderId="0" xfId="0" applyFont="1" applyFill="1"/>
    <xf numFmtId="0" fontId="106" fillId="10" borderId="0" xfId="0" applyFont="1" applyFill="1"/>
    <xf numFmtId="0" fontId="108" fillId="10" borderId="0" xfId="0" applyFont="1" applyFill="1"/>
    <xf numFmtId="0" fontId="47" fillId="10" borderId="0" xfId="0" applyFont="1" applyFill="1"/>
    <xf numFmtId="0" fontId="110" fillId="10" borderId="0" xfId="0" applyFont="1" applyFill="1"/>
    <xf numFmtId="0" fontId="115" fillId="10" borderId="0" xfId="0" applyFont="1" applyFill="1"/>
    <xf numFmtId="0" fontId="116" fillId="10" borderId="0" xfId="0" applyFont="1" applyFill="1"/>
    <xf numFmtId="0" fontId="6" fillId="10" borderId="0" xfId="0" applyFont="1" applyFill="1"/>
    <xf numFmtId="0" fontId="104" fillId="10" borderId="0" xfId="0" applyFont="1" applyFill="1" applyBorder="1"/>
    <xf numFmtId="0" fontId="0" fillId="10" borderId="0" xfId="0" applyFill="1" applyBorder="1"/>
    <xf numFmtId="0" fontId="4" fillId="10" borderId="0" xfId="0" applyFont="1" applyFill="1" applyBorder="1"/>
    <xf numFmtId="0" fontId="4" fillId="10" borderId="0" xfId="0" applyFont="1" applyFill="1" applyBorder="1" applyAlignment="1">
      <alignment horizontal="center"/>
    </xf>
    <xf numFmtId="0" fontId="117" fillId="10" borderId="0" xfId="0" applyFont="1" applyFill="1" applyBorder="1"/>
    <xf numFmtId="0" fontId="118" fillId="10" borderId="0" xfId="0" applyFont="1" applyFill="1" applyBorder="1" applyAlignment="1">
      <alignment horizontal="center"/>
    </xf>
    <xf numFmtId="0" fontId="112" fillId="10" borderId="0" xfId="0" applyFont="1" applyFill="1" applyBorder="1"/>
    <xf numFmtId="0" fontId="119" fillId="10" borderId="0" xfId="0" applyFont="1" applyFill="1" applyBorder="1"/>
    <xf numFmtId="0" fontId="120" fillId="10" borderId="0" xfId="0" applyFont="1" applyFill="1" applyBorder="1" applyAlignment="1">
      <alignment horizontal="center"/>
    </xf>
    <xf numFmtId="0" fontId="46" fillId="10" borderId="0" xfId="0" applyFont="1" applyFill="1" applyBorder="1" applyAlignment="1">
      <alignment horizontal="center"/>
    </xf>
    <xf numFmtId="0" fontId="46" fillId="10" borderId="0" xfId="0" applyFont="1" applyFill="1" applyBorder="1"/>
    <xf numFmtId="0" fontId="121" fillId="10" borderId="0" xfId="0" applyFont="1" applyFill="1" applyBorder="1"/>
    <xf numFmtId="0" fontId="122" fillId="10" borderId="0" xfId="0" applyFont="1" applyFill="1" applyBorder="1" applyAlignment="1">
      <alignment horizontal="center"/>
    </xf>
    <xf numFmtId="0" fontId="106" fillId="10" borderId="0" xfId="0" applyFont="1" applyFill="1" applyBorder="1"/>
    <xf numFmtId="0" fontId="111" fillId="10" borderId="0" xfId="0" applyFont="1" applyFill="1" applyBorder="1"/>
    <xf numFmtId="0" fontId="111" fillId="10" borderId="0" xfId="0" applyFont="1" applyFill="1" applyBorder="1" applyAlignment="1">
      <alignment horizontal="center"/>
    </xf>
    <xf numFmtId="0" fontId="42" fillId="10" borderId="0" xfId="0" applyFont="1" applyFill="1" applyBorder="1" applyAlignment="1">
      <alignment horizontal="right"/>
    </xf>
    <xf numFmtId="0" fontId="41" fillId="10" borderId="0" xfId="0" applyFont="1" applyFill="1" applyBorder="1"/>
    <xf numFmtId="0" fontId="24" fillId="10" borderId="0" xfId="0" applyFont="1" applyFill="1" applyBorder="1" applyAlignment="1">
      <alignment horizontal="right"/>
    </xf>
    <xf numFmtId="0" fontId="47" fillId="10" borderId="0" xfId="0" applyFont="1" applyFill="1" applyBorder="1" applyAlignment="1">
      <alignment horizontal="center"/>
    </xf>
    <xf numFmtId="0" fontId="42" fillId="10" borderId="0" xfId="0" applyFont="1" applyFill="1" applyBorder="1" applyAlignment="1">
      <alignment horizontal="left"/>
    </xf>
    <xf numFmtId="0" fontId="47" fillId="10" borderId="0" xfId="0" applyFont="1" applyFill="1" applyBorder="1"/>
    <xf numFmtId="0" fontId="113" fillId="10" borderId="0" xfId="0" applyFont="1" applyFill="1" applyBorder="1"/>
    <xf numFmtId="0" fontId="114" fillId="10" borderId="0" xfId="0" applyFont="1" applyFill="1" applyBorder="1" applyAlignment="1">
      <alignment horizontal="right"/>
    </xf>
    <xf numFmtId="0" fontId="113" fillId="10" borderId="0" xfId="0" applyFont="1" applyFill="1" applyBorder="1" applyAlignment="1">
      <alignment horizontal="center"/>
    </xf>
    <xf numFmtId="0" fontId="115" fillId="10" borderId="0" xfId="0" applyFont="1" applyFill="1" applyBorder="1" applyAlignment="1">
      <alignment horizontal="center"/>
    </xf>
    <xf numFmtId="0" fontId="115" fillId="10" borderId="0" xfId="0" applyFont="1" applyFill="1" applyBorder="1"/>
    <xf numFmtId="0" fontId="4" fillId="10" borderId="0" xfId="0" applyFont="1" applyFill="1" applyBorder="1" applyAlignment="1"/>
    <xf numFmtId="0" fontId="105" fillId="10" borderId="0" xfId="0" applyFont="1" applyFill="1" applyBorder="1"/>
    <xf numFmtId="0" fontId="4" fillId="10" borderId="0" xfId="0" applyFont="1" applyFill="1" applyBorder="1" applyAlignment="1">
      <alignment horizontal="left"/>
    </xf>
    <xf numFmtId="0" fontId="123" fillId="10" borderId="0" xfId="0" applyFont="1" applyFill="1" applyBorder="1" applyAlignment="1">
      <alignment horizontal="center"/>
    </xf>
    <xf numFmtId="0" fontId="117" fillId="10" borderId="0" xfId="0" applyFont="1" applyFill="1" applyBorder="1" applyAlignment="1">
      <alignment horizontal="center"/>
    </xf>
    <xf numFmtId="0" fontId="105" fillId="10" borderId="0" xfId="0" applyFont="1" applyFill="1" applyBorder="1" applyAlignment="1">
      <alignment horizontal="center"/>
    </xf>
    <xf numFmtId="0" fontId="124" fillId="10" borderId="0" xfId="0" applyFont="1" applyFill="1" applyBorder="1" applyAlignment="1">
      <alignment horizontal="center"/>
    </xf>
    <xf numFmtId="0" fontId="125" fillId="10" borderId="0" xfId="0" applyFont="1" applyFill="1" applyBorder="1" applyAlignment="1">
      <alignment horizontal="center"/>
    </xf>
    <xf numFmtId="0" fontId="112" fillId="10" borderId="0" xfId="0" applyFont="1" applyFill="1" applyBorder="1" applyAlignment="1">
      <alignment horizontal="center"/>
    </xf>
    <xf numFmtId="0" fontId="12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/>
    </xf>
    <xf numFmtId="0" fontId="120" fillId="10" borderId="0" xfId="0" applyFont="1" applyFill="1" applyBorder="1"/>
    <xf numFmtId="0" fontId="122" fillId="10" borderId="0" xfId="0" applyFont="1" applyFill="1" applyBorder="1"/>
    <xf numFmtId="0" fontId="41" fillId="10" borderId="0" xfId="0" applyFont="1" applyFill="1" applyBorder="1" applyAlignment="1">
      <alignment horizontal="left"/>
    </xf>
    <xf numFmtId="0" fontId="13" fillId="10" borderId="0" xfId="0" applyFont="1" applyFill="1" applyBorder="1" applyAlignment="1">
      <alignment horizontal="right"/>
    </xf>
    <xf numFmtId="0" fontId="45" fillId="10" borderId="0" xfId="0" applyFont="1" applyFill="1"/>
    <xf numFmtId="0" fontId="4" fillId="10" borderId="0" xfId="0" applyFont="1" applyFill="1" applyAlignment="1">
      <alignment horizontal="center"/>
    </xf>
    <xf numFmtId="0" fontId="102" fillId="10" borderId="0" xfId="0" applyFont="1" applyFill="1"/>
    <xf numFmtId="0" fontId="128" fillId="3" borderId="27" xfId="0" applyFont="1" applyFill="1" applyBorder="1" applyAlignment="1">
      <alignment wrapText="1"/>
    </xf>
    <xf numFmtId="0" fontId="95" fillId="3" borderId="0" xfId="0" applyFont="1" applyFill="1"/>
    <xf numFmtId="0" fontId="129" fillId="3" borderId="0" xfId="0" applyFont="1" applyFill="1"/>
    <xf numFmtId="0" fontId="130" fillId="3" borderId="0" xfId="0" applyFont="1" applyFill="1"/>
    <xf numFmtId="0" fontId="131" fillId="3" borderId="0" xfId="0" applyFont="1" applyFill="1" applyAlignment="1">
      <alignment horizontal="left"/>
    </xf>
    <xf numFmtId="0" fontId="132" fillId="3" borderId="0" xfId="0" applyFont="1" applyFill="1"/>
    <xf numFmtId="0" fontId="133" fillId="3" borderId="0" xfId="0" applyFont="1" applyFill="1" applyBorder="1" applyAlignment="1">
      <alignment horizontal="left"/>
    </xf>
    <xf numFmtId="0" fontId="133" fillId="3" borderId="0" xfId="0" applyFont="1" applyFill="1"/>
    <xf numFmtId="0" fontId="134" fillId="10" borderId="0" xfId="0" applyFont="1" applyFill="1"/>
    <xf numFmtId="0" fontId="135" fillId="10" borderId="0" xfId="0" applyFont="1" applyFill="1" applyBorder="1" applyAlignment="1">
      <alignment horizontal="center"/>
    </xf>
    <xf numFmtId="0" fontId="135" fillId="10" borderId="0" xfId="0" applyFont="1" applyFill="1" applyAlignment="1">
      <alignment horizontal="right"/>
    </xf>
    <xf numFmtId="0" fontId="135" fillId="10" borderId="0" xfId="0" applyFont="1" applyFill="1" applyAlignment="1">
      <alignment horizontal="center"/>
    </xf>
    <xf numFmtId="0" fontId="135" fillId="10" borderId="0" xfId="0" applyFont="1" applyFill="1"/>
    <xf numFmtId="0" fontId="111" fillId="11" borderId="27" xfId="0" applyFont="1" applyFill="1" applyBorder="1" applyAlignment="1">
      <alignment horizontal="center"/>
    </xf>
    <xf numFmtId="0" fontId="111" fillId="11" borderId="1" xfId="0" applyFont="1" applyFill="1" applyBorder="1"/>
    <xf numFmtId="0" fontId="6" fillId="11" borderId="0" xfId="0" applyFont="1" applyFill="1" applyBorder="1"/>
    <xf numFmtId="0" fontId="6" fillId="11" borderId="0" xfId="0" applyFont="1" applyFill="1" applyBorder="1" applyAlignment="1">
      <alignment horizontal="center"/>
    </xf>
    <xf numFmtId="0" fontId="127" fillId="3" borderId="0" xfId="0" applyFont="1" applyFill="1"/>
    <xf numFmtId="0" fontId="67" fillId="3" borderId="31" xfId="0" applyFont="1" applyFill="1" applyBorder="1" applyAlignment="1"/>
    <xf numFmtId="0" fontId="67" fillId="3" borderId="18" xfId="0" applyFont="1" applyFill="1" applyBorder="1" applyAlignment="1"/>
    <xf numFmtId="0" fontId="138" fillId="7" borderId="23" xfId="0" applyFont="1" applyFill="1" applyBorder="1"/>
    <xf numFmtId="0" fontId="41" fillId="0" borderId="0" xfId="0" applyFont="1"/>
    <xf numFmtId="0" fontId="6" fillId="0" borderId="0" xfId="0" applyFont="1"/>
    <xf numFmtId="0" fontId="129" fillId="8" borderId="0" xfId="0" applyFont="1" applyFill="1"/>
    <xf numFmtId="0" fontId="0" fillId="3" borderId="0" xfId="0" applyFont="1" applyFill="1"/>
    <xf numFmtId="0" fontId="140" fillId="3" borderId="0" xfId="0" applyFont="1" applyFill="1"/>
    <xf numFmtId="0" fontId="141" fillId="3" borderId="0" xfId="0" applyFont="1" applyFill="1"/>
    <xf numFmtId="0" fontId="142" fillId="3" borderId="0" xfId="0" applyFont="1" applyFill="1"/>
    <xf numFmtId="0" fontId="0" fillId="0" borderId="0" xfId="0" applyFont="1"/>
    <xf numFmtId="0" fontId="141" fillId="13" borderId="30" xfId="0" applyFont="1" applyFill="1" applyBorder="1" applyAlignment="1">
      <alignment horizontal="center"/>
    </xf>
    <xf numFmtId="0" fontId="143" fillId="11" borderId="1" xfId="0" applyFont="1" applyFill="1" applyBorder="1" applyAlignment="1">
      <alignment horizontal="center"/>
    </xf>
    <xf numFmtId="0" fontId="144" fillId="3" borderId="0" xfId="0" applyFont="1" applyFill="1"/>
    <xf numFmtId="0" fontId="0" fillId="10" borderId="0" xfId="0" applyFont="1" applyFill="1"/>
    <xf numFmtId="0" fontId="141" fillId="10" borderId="0" xfId="0" applyFont="1" applyFill="1"/>
    <xf numFmtId="0" fontId="129" fillId="11" borderId="1" xfId="0" applyFont="1" applyFill="1" applyBorder="1"/>
    <xf numFmtId="0" fontId="129" fillId="3" borderId="27" xfId="0" applyFont="1" applyFill="1" applyBorder="1" applyAlignment="1">
      <alignment horizontal="center"/>
    </xf>
    <xf numFmtId="0" fontId="129" fillId="11" borderId="1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30" xfId="0" applyFont="1" applyFill="1" applyBorder="1" applyAlignment="1">
      <alignment horizontal="center"/>
    </xf>
    <xf numFmtId="0" fontId="6" fillId="3" borderId="17" xfId="0" applyFont="1" applyFill="1" applyBorder="1"/>
    <xf numFmtId="0" fontId="129" fillId="3" borderId="28" xfId="0" applyFont="1" applyFill="1" applyBorder="1"/>
    <xf numFmtId="0" fontId="129" fillId="3" borderId="16" xfId="0" applyFont="1" applyFill="1" applyBorder="1"/>
    <xf numFmtId="0" fontId="98" fillId="3" borderId="0" xfId="0" applyFont="1" applyFill="1" applyBorder="1" applyAlignment="1">
      <alignment horizontal="left" vertical="top" wrapText="1"/>
    </xf>
    <xf numFmtId="0" fontId="129" fillId="3" borderId="13" xfId="0" applyFont="1" applyFill="1" applyBorder="1"/>
    <xf numFmtId="0" fontId="129" fillId="3" borderId="0" xfId="0" applyFont="1" applyFill="1" applyBorder="1"/>
    <xf numFmtId="0" fontId="129" fillId="3" borderId="10" xfId="0" applyFont="1" applyFill="1" applyBorder="1"/>
    <xf numFmtId="0" fontId="129" fillId="8" borderId="13" xfId="0" applyFont="1" applyFill="1" applyBorder="1"/>
    <xf numFmtId="0" fontId="129" fillId="8" borderId="25" xfId="0" applyFont="1" applyFill="1" applyBorder="1"/>
    <xf numFmtId="0" fontId="129" fillId="8" borderId="11" xfId="0" applyFont="1" applyFill="1" applyBorder="1"/>
    <xf numFmtId="0" fontId="129" fillId="8" borderId="29" xfId="0" applyFont="1" applyFill="1" applyBorder="1"/>
    <xf numFmtId="0" fontId="129" fillId="3" borderId="0" xfId="0" applyFont="1" applyFill="1" applyBorder="1" applyAlignment="1">
      <alignment vertical="center"/>
    </xf>
    <xf numFmtId="0" fontId="129" fillId="3" borderId="10" xfId="0" applyFont="1" applyFill="1" applyBorder="1" applyAlignment="1">
      <alignment vertical="center"/>
    </xf>
    <xf numFmtId="0" fontId="93" fillId="8" borderId="0" xfId="0" applyFont="1" applyFill="1"/>
    <xf numFmtId="0" fontId="6" fillId="11" borderId="27" xfId="0" applyFont="1" applyFill="1" applyBorder="1"/>
    <xf numFmtId="0" fontId="6" fillId="3" borderId="28" xfId="0" applyFont="1" applyFill="1" applyBorder="1"/>
    <xf numFmtId="0" fontId="6" fillId="3" borderId="13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129" fillId="3" borderId="17" xfId="0" applyFont="1" applyFill="1" applyBorder="1"/>
    <xf numFmtId="0" fontId="6" fillId="3" borderId="13" xfId="0" applyFont="1" applyFill="1" applyBorder="1" applyAlignment="1">
      <alignment horizontal="left" vertical="top"/>
    </xf>
    <xf numFmtId="0" fontId="129" fillId="3" borderId="13" xfId="0" applyFont="1" applyFill="1" applyBorder="1" applyAlignment="1">
      <alignment horizontal="right" vertical="center"/>
    </xf>
    <xf numFmtId="0" fontId="6" fillId="3" borderId="25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29" xfId="0" applyFont="1" applyFill="1" applyBorder="1" applyAlignment="1">
      <alignment horizontal="left" vertical="top" wrapText="1"/>
    </xf>
    <xf numFmtId="0" fontId="129" fillId="8" borderId="27" xfId="0" applyFont="1" applyFill="1" applyBorder="1" applyAlignment="1">
      <alignment horizontal="center" vertical="top"/>
    </xf>
    <xf numFmtId="0" fontId="129" fillId="8" borderId="18" xfId="0" applyFont="1" applyFill="1" applyBorder="1" applyAlignment="1">
      <alignment horizontal="center" vertical="top"/>
    </xf>
    <xf numFmtId="0" fontId="5" fillId="3" borderId="0" xfId="0" applyFont="1" applyFill="1" applyBorder="1"/>
    <xf numFmtId="0" fontId="98" fillId="11" borderId="33" xfId="0" applyFont="1" applyFill="1" applyBorder="1" applyAlignment="1">
      <alignment horizontal="left" vertical="top" wrapText="1"/>
    </xf>
    <xf numFmtId="0" fontId="129" fillId="11" borderId="27" xfId="0" applyFont="1" applyFill="1" applyBorder="1"/>
    <xf numFmtId="0" fontId="95" fillId="3" borderId="27" xfId="0" applyFont="1" applyFill="1" applyBorder="1"/>
    <xf numFmtId="0" fontId="95" fillId="3" borderId="27" xfId="0" applyFont="1" applyFill="1" applyBorder="1" applyAlignment="1">
      <alignment horizontal="center"/>
    </xf>
    <xf numFmtId="0" fontId="95" fillId="3" borderId="27" xfId="0" quotePrefix="1" applyFont="1" applyFill="1" applyBorder="1"/>
    <xf numFmtId="0" fontId="95" fillId="3" borderId="27" xfId="0" applyFont="1" applyFill="1" applyBorder="1" applyAlignment="1">
      <alignment horizontal="left"/>
    </xf>
    <xf numFmtId="0" fontId="97" fillId="3" borderId="27" xfId="0" applyFont="1" applyFill="1" applyBorder="1" applyAlignment="1">
      <alignment horizontal="center"/>
    </xf>
    <xf numFmtId="0" fontId="95" fillId="3" borderId="27" xfId="0" applyFont="1" applyFill="1" applyBorder="1" applyAlignment="1">
      <alignment horizontal="right"/>
    </xf>
    <xf numFmtId="0" fontId="146" fillId="0" borderId="27" xfId="0" applyFont="1" applyBorder="1"/>
    <xf numFmtId="0" fontId="3" fillId="15" borderId="0" xfId="0" applyFont="1" applyFill="1"/>
    <xf numFmtId="0" fontId="0" fillId="15" borderId="0" xfId="0" applyFill="1" applyBorder="1"/>
    <xf numFmtId="0" fontId="0" fillId="14" borderId="0" xfId="0" applyFill="1"/>
    <xf numFmtId="0" fontId="148" fillId="14" borderId="0" xfId="0" applyFont="1" applyFill="1"/>
    <xf numFmtId="0" fontId="95" fillId="15" borderId="0" xfId="0" applyFont="1" applyFill="1"/>
    <xf numFmtId="0" fontId="94" fillId="8" borderId="0" xfId="0" applyFont="1" applyFill="1"/>
    <xf numFmtId="0" fontId="150" fillId="3" borderId="0" xfId="0" applyFont="1" applyFill="1"/>
    <xf numFmtId="0" fontId="150" fillId="8" borderId="0" xfId="0" applyFont="1" applyFill="1"/>
    <xf numFmtId="0" fontId="150" fillId="11" borderId="1" xfId="0" applyFont="1" applyFill="1" applyBorder="1"/>
    <xf numFmtId="0" fontId="155" fillId="3" borderId="0" xfId="0" applyFont="1" applyFill="1"/>
    <xf numFmtId="0" fontId="150" fillId="3" borderId="28" xfId="0" applyFont="1" applyFill="1" applyBorder="1"/>
    <xf numFmtId="0" fontId="150" fillId="3" borderId="16" xfId="0" applyFont="1" applyFill="1" applyBorder="1"/>
    <xf numFmtId="0" fontId="150" fillId="3" borderId="0" xfId="0" applyFont="1" applyFill="1" applyBorder="1" applyAlignment="1">
      <alignment horizontal="right" vertical="center"/>
    </xf>
    <xf numFmtId="0" fontId="150" fillId="11" borderId="0" xfId="0" applyFont="1" applyFill="1" applyBorder="1" applyAlignment="1">
      <alignment vertical="center"/>
    </xf>
    <xf numFmtId="0" fontId="150" fillId="3" borderId="0" xfId="0" applyFont="1" applyFill="1" applyBorder="1" applyAlignment="1">
      <alignment vertical="center"/>
    </xf>
    <xf numFmtId="0" fontId="150" fillId="3" borderId="10" xfId="0" applyFont="1" applyFill="1" applyBorder="1" applyAlignment="1">
      <alignment vertical="center"/>
    </xf>
    <xf numFmtId="0" fontId="156" fillId="3" borderId="13" xfId="0" applyFont="1" applyFill="1" applyBorder="1"/>
    <xf numFmtId="0" fontId="150" fillId="3" borderId="0" xfId="0" applyFont="1" applyFill="1" applyBorder="1"/>
    <xf numFmtId="0" fontId="150" fillId="3" borderId="13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150" fillId="3" borderId="10" xfId="0" applyFont="1" applyFill="1" applyBorder="1"/>
    <xf numFmtId="0" fontId="157" fillId="3" borderId="0" xfId="0" applyFont="1" applyFill="1"/>
    <xf numFmtId="0" fontId="5" fillId="3" borderId="17" xfId="0" applyFont="1" applyFill="1" applyBorder="1"/>
    <xf numFmtId="0" fontId="157" fillId="9" borderId="27" xfId="0" applyFont="1" applyFill="1" applyBorder="1" applyAlignment="1">
      <alignment horizontal="center" vertical="top"/>
    </xf>
    <xf numFmtId="0" fontId="157" fillId="9" borderId="18" xfId="0" applyFont="1" applyFill="1" applyBorder="1" applyAlignment="1">
      <alignment horizontal="center" vertical="top"/>
    </xf>
    <xf numFmtId="0" fontId="157" fillId="3" borderId="27" xfId="0" applyFont="1" applyFill="1" applyBorder="1" applyAlignment="1">
      <alignment horizontal="center"/>
    </xf>
    <xf numFmtId="0" fontId="157" fillId="11" borderId="18" xfId="0" applyFont="1" applyFill="1" applyBorder="1" applyAlignment="1">
      <alignment horizontal="center"/>
    </xf>
    <xf numFmtId="0" fontId="157" fillId="11" borderId="17" xfId="0" applyFont="1" applyFill="1" applyBorder="1" applyAlignment="1">
      <alignment horizontal="center"/>
    </xf>
    <xf numFmtId="0" fontId="6" fillId="16" borderId="0" xfId="0" applyFont="1" applyFill="1"/>
    <xf numFmtId="0" fontId="141" fillId="3" borderId="0" xfId="0" applyFont="1" applyFill="1" applyBorder="1"/>
    <xf numFmtId="0" fontId="0" fillId="3" borderId="0" xfId="0" applyFont="1" applyFill="1" applyBorder="1"/>
    <xf numFmtId="0" fontId="3" fillId="0" borderId="27" xfId="0" applyFont="1" applyBorder="1"/>
    <xf numFmtId="0" fontId="3" fillId="3" borderId="27" xfId="0" applyFont="1" applyFill="1" applyBorder="1"/>
    <xf numFmtId="0" fontId="95" fillId="0" borderId="27" xfId="0" applyFont="1" applyBorder="1"/>
    <xf numFmtId="0" fontId="160" fillId="0" borderId="27" xfId="0" applyFont="1" applyBorder="1"/>
    <xf numFmtId="0" fontId="3" fillId="3" borderId="0" xfId="0" applyFont="1" applyFill="1"/>
    <xf numFmtId="0" fontId="161" fillId="3" borderId="0" xfId="0" applyFont="1" applyFill="1"/>
    <xf numFmtId="0" fontId="162" fillId="3" borderId="0" xfId="0" applyFont="1" applyFill="1"/>
    <xf numFmtId="0" fontId="163" fillId="3" borderId="0" xfId="0" applyFont="1" applyFill="1"/>
    <xf numFmtId="0" fontId="0" fillId="17" borderId="0" xfId="0" applyFill="1"/>
    <xf numFmtId="0" fontId="98" fillId="17" borderId="0" xfId="0" applyFont="1" applyFill="1"/>
    <xf numFmtId="0" fontId="164" fillId="0" borderId="0" xfId="0" applyFont="1"/>
    <xf numFmtId="0" fontId="165" fillId="0" borderId="0" xfId="0" applyFont="1"/>
    <xf numFmtId="0" fontId="169" fillId="3" borderId="11" xfId="0" applyFont="1" applyFill="1" applyBorder="1" applyAlignment="1">
      <alignment horizontal="center"/>
    </xf>
    <xf numFmtId="0" fontId="168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176" fillId="3" borderId="0" xfId="0" applyFont="1" applyFill="1"/>
    <xf numFmtId="0" fontId="171" fillId="3" borderId="0" xfId="0" applyFont="1" applyFill="1"/>
    <xf numFmtId="0" fontId="161" fillId="3" borderId="17" xfId="0" applyFont="1" applyFill="1" applyBorder="1"/>
    <xf numFmtId="0" fontId="0" fillId="3" borderId="16" xfId="0" applyFill="1" applyBorder="1"/>
    <xf numFmtId="0" fontId="0" fillId="3" borderId="10" xfId="0" applyFill="1" applyBorder="1"/>
    <xf numFmtId="0" fontId="0" fillId="3" borderId="29" xfId="0" applyFill="1" applyBorder="1"/>
    <xf numFmtId="0" fontId="171" fillId="3" borderId="13" xfId="0" applyFont="1" applyFill="1" applyBorder="1"/>
    <xf numFmtId="0" fontId="171" fillId="3" borderId="17" xfId="0" quotePrefix="1" applyFont="1" applyFill="1" applyBorder="1"/>
    <xf numFmtId="0" fontId="171" fillId="3" borderId="16" xfId="0" applyFont="1" applyFill="1" applyBorder="1"/>
    <xf numFmtId="0" fontId="171" fillId="3" borderId="13" xfId="0" applyFont="1" applyFill="1" applyBorder="1" applyAlignment="1">
      <alignment horizontal="right"/>
    </xf>
    <xf numFmtId="0" fontId="171" fillId="3" borderId="10" xfId="0" applyFont="1" applyFill="1" applyBorder="1"/>
    <xf numFmtId="0" fontId="171" fillId="3" borderId="25" xfId="0" applyFont="1" applyFill="1" applyBorder="1" applyAlignment="1">
      <alignment horizontal="right"/>
    </xf>
    <xf numFmtId="0" fontId="181" fillId="3" borderId="29" xfId="0" applyFont="1" applyFill="1" applyBorder="1" applyAlignment="1">
      <alignment horizontal="left"/>
    </xf>
    <xf numFmtId="0" fontId="0" fillId="3" borderId="0" xfId="0" applyFill="1" applyBorder="1"/>
    <xf numFmtId="0" fontId="181" fillId="3" borderId="25" xfId="0" applyFont="1" applyFill="1" applyBorder="1"/>
    <xf numFmtId="0" fontId="0" fillId="14" borderId="0" xfId="0" applyFill="1" applyBorder="1"/>
    <xf numFmtId="0" fontId="184" fillId="3" borderId="35" xfId="0" applyFont="1" applyFill="1" applyBorder="1" applyAlignment="1">
      <alignment vertical="top" wrapText="1"/>
    </xf>
    <xf numFmtId="0" fontId="184" fillId="3" borderId="34" xfId="0" applyFont="1" applyFill="1" applyBorder="1" applyAlignment="1">
      <alignment horizontal="center" vertical="top" wrapText="1"/>
    </xf>
    <xf numFmtId="0" fontId="185" fillId="3" borderId="29" xfId="0" applyFont="1" applyFill="1" applyBorder="1"/>
    <xf numFmtId="0" fontId="185" fillId="3" borderId="33" xfId="0" applyFont="1" applyFill="1" applyBorder="1" applyAlignment="1">
      <alignment horizontal="center"/>
    </xf>
    <xf numFmtId="0" fontId="185" fillId="3" borderId="19" xfId="0" applyFont="1" applyFill="1" applyBorder="1"/>
    <xf numFmtId="0" fontId="185" fillId="3" borderId="2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86" fillId="3" borderId="36" xfId="0" applyFont="1" applyFill="1" applyBorder="1" applyAlignment="1">
      <alignment horizontal="center" vertical="top" wrapText="1"/>
    </xf>
    <xf numFmtId="0" fontId="186" fillId="3" borderId="25" xfId="0" applyFont="1" applyFill="1" applyBorder="1" applyAlignment="1">
      <alignment horizontal="center"/>
    </xf>
    <xf numFmtId="0" fontId="186" fillId="3" borderId="18" xfId="0" applyFont="1" applyFill="1" applyBorder="1" applyAlignment="1">
      <alignment horizontal="center"/>
    </xf>
    <xf numFmtId="0" fontId="187" fillId="3" borderId="34" xfId="0" quotePrefix="1" applyFont="1" applyFill="1" applyBorder="1" applyAlignment="1">
      <alignment horizontal="center" vertical="top" wrapText="1"/>
    </xf>
    <xf numFmtId="0" fontId="187" fillId="3" borderId="33" xfId="0" applyFont="1" applyFill="1" applyBorder="1" applyAlignment="1">
      <alignment horizontal="center"/>
    </xf>
    <xf numFmtId="0" fontId="187" fillId="3" borderId="27" xfId="0" applyFont="1" applyFill="1" applyBorder="1" applyAlignment="1">
      <alignment horizontal="center"/>
    </xf>
    <xf numFmtId="0" fontId="0" fillId="3" borderId="13" xfId="0" applyFill="1" applyBorder="1"/>
    <xf numFmtId="0" fontId="186" fillId="3" borderId="0" xfId="0" applyFont="1" applyFill="1" applyBorder="1" applyAlignment="1">
      <alignment horizontal="center"/>
    </xf>
    <xf numFmtId="0" fontId="187" fillId="3" borderId="0" xfId="0" applyFont="1" applyFill="1" applyBorder="1" applyAlignment="1">
      <alignment horizontal="center"/>
    </xf>
    <xf numFmtId="0" fontId="190" fillId="3" borderId="0" xfId="0" quotePrefix="1" applyFont="1" applyFill="1" applyBorder="1" applyAlignment="1">
      <alignment vertical="top" wrapText="1"/>
    </xf>
    <xf numFmtId="0" fontId="190" fillId="3" borderId="0" xfId="0" applyFont="1" applyFill="1" applyBorder="1" applyAlignment="1">
      <alignment horizontal="center"/>
    </xf>
    <xf numFmtId="0" fontId="192" fillId="3" borderId="0" xfId="0" applyFont="1" applyFill="1" applyBorder="1" applyAlignment="1">
      <alignment horizontal="center"/>
    </xf>
    <xf numFmtId="0" fontId="192" fillId="3" borderId="0" xfId="0" applyFont="1" applyFill="1" applyBorder="1" applyAlignment="1">
      <alignment horizontal="right"/>
    </xf>
    <xf numFmtId="0" fontId="191" fillId="3" borderId="0" xfId="0" applyFont="1" applyFill="1" applyBorder="1" applyAlignment="1">
      <alignment horizontal="center" vertical="center"/>
    </xf>
    <xf numFmtId="164" fontId="186" fillId="3" borderId="0" xfId="0" applyNumberFormat="1" applyFont="1" applyFill="1" applyBorder="1" applyAlignment="1">
      <alignment horizontal="center"/>
    </xf>
    <xf numFmtId="0" fontId="167" fillId="3" borderId="0" xfId="0" applyFont="1" applyFill="1"/>
    <xf numFmtId="0" fontId="193" fillId="14" borderId="0" xfId="0" applyFont="1" applyFill="1"/>
    <xf numFmtId="0" fontId="185" fillId="3" borderId="0" xfId="0" applyFont="1" applyFill="1" applyBorder="1" applyAlignment="1">
      <alignment wrapText="1"/>
    </xf>
    <xf numFmtId="0" fontId="194" fillId="3" borderId="9" xfId="0" applyFont="1" applyFill="1" applyBorder="1" applyAlignment="1">
      <alignment vertical="top" wrapText="1"/>
    </xf>
    <xf numFmtId="0" fontId="194" fillId="3" borderId="0" xfId="0" applyFont="1" applyFill="1" applyBorder="1" applyAlignment="1">
      <alignment vertical="top" wrapText="1"/>
    </xf>
    <xf numFmtId="0" fontId="194" fillId="3" borderId="7" xfId="0" applyFont="1" applyFill="1" applyBorder="1" applyAlignment="1">
      <alignment vertical="top" wrapText="1"/>
    </xf>
    <xf numFmtId="0" fontId="194" fillId="3" borderId="4" xfId="0" applyFont="1" applyFill="1" applyBorder="1" applyAlignment="1">
      <alignment vertical="top" wrapText="1"/>
    </xf>
    <xf numFmtId="0" fontId="0" fillId="3" borderId="9" xfId="0" applyFill="1" applyBorder="1"/>
    <xf numFmtId="0" fontId="0" fillId="3" borderId="6" xfId="0" applyFill="1" applyBorder="1"/>
    <xf numFmtId="0" fontId="197" fillId="3" borderId="0" xfId="0" applyFont="1" applyFill="1" applyBorder="1" applyAlignment="1">
      <alignment vertical="center" wrapText="1"/>
    </xf>
    <xf numFmtId="0" fontId="167" fillId="3" borderId="0" xfId="0" applyFont="1" applyFill="1" applyBorder="1"/>
    <xf numFmtId="0" fontId="0" fillId="3" borderId="0" xfId="0" applyFill="1" applyAlignment="1"/>
    <xf numFmtId="0" fontId="188" fillId="3" borderId="0" xfId="0" quotePrefix="1" applyFont="1" applyFill="1" applyBorder="1" applyAlignment="1">
      <alignment horizontal="center" wrapText="1"/>
    </xf>
    <xf numFmtId="0" fontId="187" fillId="3" borderId="11" xfId="0" applyFont="1" applyFill="1" applyBorder="1" applyAlignment="1">
      <alignment horizontal="center"/>
    </xf>
    <xf numFmtId="0" fontId="190" fillId="3" borderId="0" xfId="0" applyFont="1" applyFill="1" applyBorder="1" applyAlignment="1">
      <alignment horizontal="center" vertical="top"/>
    </xf>
    <xf numFmtId="0" fontId="185" fillId="8" borderId="19" xfId="0" applyFont="1" applyFill="1" applyBorder="1" applyAlignment="1">
      <alignment horizontal="center"/>
    </xf>
    <xf numFmtId="0" fontId="188" fillId="3" borderId="0" xfId="0" quotePrefix="1" applyFont="1" applyFill="1" applyBorder="1" applyAlignment="1">
      <alignment wrapText="1"/>
    </xf>
    <xf numFmtId="165" fontId="196" fillId="3" borderId="0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" xfId="0" applyFill="1" applyBorder="1"/>
    <xf numFmtId="0" fontId="0" fillId="3" borderId="2" xfId="0" applyFill="1" applyBorder="1" applyAlignment="1"/>
    <xf numFmtId="0" fontId="0" fillId="3" borderId="0" xfId="0" applyFill="1" applyBorder="1" applyAlignment="1"/>
    <xf numFmtId="0" fontId="0" fillId="3" borderId="4" xfId="0" applyFill="1" applyBorder="1"/>
    <xf numFmtId="0" fontId="0" fillId="3" borderId="11" xfId="0" applyFill="1" applyBorder="1"/>
    <xf numFmtId="0" fontId="3" fillId="3" borderId="0" xfId="0" applyFont="1" applyFill="1" applyBorder="1"/>
    <xf numFmtId="0" fontId="185" fillId="3" borderId="28" xfId="0" applyFont="1" applyFill="1" applyBorder="1" applyAlignment="1">
      <alignment horizontal="center" wrapText="1"/>
    </xf>
    <xf numFmtId="0" fontId="0" fillId="3" borderId="28" xfId="0" applyFill="1" applyBorder="1"/>
    <xf numFmtId="0" fontId="185" fillId="3" borderId="28" xfId="0" applyFont="1" applyFill="1" applyBorder="1" applyAlignment="1">
      <alignment wrapText="1"/>
    </xf>
    <xf numFmtId="0" fontId="0" fillId="3" borderId="28" xfId="0" applyFill="1" applyBorder="1" applyAlignment="1"/>
    <xf numFmtId="0" fontId="190" fillId="1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88" fillId="8" borderId="19" xfId="0" applyFont="1" applyFill="1" applyBorder="1" applyAlignment="1">
      <alignment horizontal="center" vertical="top" wrapText="1"/>
    </xf>
    <xf numFmtId="0" fontId="0" fillId="3" borderId="17" xfId="0" applyFill="1" applyBorder="1"/>
    <xf numFmtId="0" fontId="0" fillId="3" borderId="16" xfId="0" applyFill="1" applyBorder="1" applyAlignment="1"/>
    <xf numFmtId="0" fontId="0" fillId="3" borderId="10" xfId="0" applyFill="1" applyBorder="1" applyAlignment="1"/>
    <xf numFmtId="0" fontId="187" fillId="3" borderId="10" xfId="0" applyFont="1" applyFill="1" applyBorder="1" applyAlignment="1">
      <alignment horizontal="center"/>
    </xf>
    <xf numFmtId="0" fontId="0" fillId="3" borderId="25" xfId="0" applyFill="1" applyBorder="1"/>
    <xf numFmtId="0" fontId="3" fillId="3" borderId="0" xfId="0" applyFont="1" applyFill="1" applyBorder="1" applyAlignment="1"/>
    <xf numFmtId="0" fontId="192" fillId="3" borderId="6" xfId="0" applyFont="1" applyFill="1" applyBorder="1" applyAlignment="1">
      <alignment horizontal="right" vertical="top"/>
    </xf>
    <xf numFmtId="0" fontId="187" fillId="5" borderId="4" xfId="0" applyFont="1" applyFill="1" applyBorder="1" applyAlignment="1"/>
    <xf numFmtId="0" fontId="192" fillId="3" borderId="0" xfId="0" applyFont="1" applyFill="1" applyBorder="1" applyAlignment="1"/>
    <xf numFmtId="0" fontId="0" fillId="3" borderId="8" xfId="0" applyFill="1" applyBorder="1" applyAlignment="1"/>
    <xf numFmtId="0" fontId="0" fillId="3" borderId="3" xfId="0" applyFill="1" applyBorder="1"/>
    <xf numFmtId="0" fontId="0" fillId="3" borderId="9" xfId="0" applyFill="1" applyBorder="1" applyAlignment="1"/>
    <xf numFmtId="0" fontId="186" fillId="3" borderId="9" xfId="0" applyFont="1" applyFill="1" applyBorder="1" applyAlignment="1">
      <alignment horizontal="center"/>
    </xf>
    <xf numFmtId="0" fontId="192" fillId="3" borderId="6" xfId="0" applyFont="1" applyFill="1" applyBorder="1" applyAlignment="1">
      <alignment vertical="top"/>
    </xf>
    <xf numFmtId="0" fontId="0" fillId="15" borderId="0" xfId="0" applyFill="1"/>
    <xf numFmtId="0" fontId="147" fillId="3" borderId="0" xfId="0" applyFont="1" applyFill="1"/>
    <xf numFmtId="0" fontId="205" fillId="3" borderId="0" xfId="0" applyFont="1" applyFill="1" applyAlignment="1"/>
    <xf numFmtId="0" fontId="0" fillId="15" borderId="0" xfId="0" applyFill="1" applyAlignment="1"/>
    <xf numFmtId="0" fontId="147" fillId="3" borderId="0" xfId="0" applyFont="1" applyFill="1" applyAlignment="1"/>
    <xf numFmtId="0" fontId="147" fillId="15" borderId="0" xfId="0" applyFont="1" applyFill="1" applyAlignment="1"/>
    <xf numFmtId="0" fontId="204" fillId="3" borderId="0" xfId="0" applyFont="1" applyFill="1" applyBorder="1" applyAlignment="1"/>
    <xf numFmtId="0" fontId="147" fillId="15" borderId="0" xfId="0" applyFont="1" applyFill="1"/>
    <xf numFmtId="0" fontId="3" fillId="3" borderId="4" xfId="0" applyFont="1" applyFill="1" applyBorder="1"/>
    <xf numFmtId="0" fontId="95" fillId="15" borderId="0" xfId="0" applyFont="1" applyFill="1" applyAlignment="1"/>
    <xf numFmtId="0" fontId="99" fillId="3" borderId="0" xfId="0" applyFont="1" applyFill="1"/>
    <xf numFmtId="0" fontId="129" fillId="5" borderId="27" xfId="0" applyFont="1" applyFill="1" applyBorder="1"/>
    <xf numFmtId="0" fontId="3" fillId="3" borderId="0" xfId="0" applyFont="1" applyFill="1" applyAlignment="1"/>
    <xf numFmtId="0" fontId="129" fillId="5" borderId="27" xfId="0" applyFont="1" applyFill="1" applyBorder="1" applyAlignment="1">
      <alignment horizontal="left"/>
    </xf>
    <xf numFmtId="0" fontId="213" fillId="3" borderId="0" xfId="0" applyFont="1" applyFill="1"/>
    <xf numFmtId="0" fontId="0" fillId="3" borderId="0" xfId="0" applyFill="1" applyBorder="1" applyAlignment="1">
      <alignment horizontal="center"/>
    </xf>
    <xf numFmtId="0" fontId="205" fillId="3" borderId="0" xfId="0" applyFont="1" applyFill="1" applyBorder="1" applyAlignment="1">
      <alignment horizontal="right"/>
    </xf>
    <xf numFmtId="0" fontId="0" fillId="8" borderId="0" xfId="0" applyFill="1" applyBorder="1"/>
    <xf numFmtId="0" fontId="211" fillId="3" borderId="0" xfId="0" applyFont="1" applyFill="1" applyBorder="1" applyAlignment="1"/>
    <xf numFmtId="0" fontId="215" fillId="3" borderId="0" xfId="0" applyFont="1" applyFill="1" applyBorder="1"/>
    <xf numFmtId="0" fontId="216" fillId="3" borderId="0" xfId="0" applyFont="1" applyFill="1" applyBorder="1"/>
    <xf numFmtId="0" fontId="103" fillId="3" borderId="0" xfId="0" applyFont="1" applyFill="1" applyBorder="1" applyAlignment="1">
      <alignment horizontal="center"/>
    </xf>
    <xf numFmtId="0" fontId="216" fillId="3" borderId="0" xfId="0" applyFont="1" applyFill="1" applyBorder="1" applyAlignment="1">
      <alignment horizontal="center"/>
    </xf>
    <xf numFmtId="0" fontId="217" fillId="3" borderId="0" xfId="0" applyFont="1" applyFill="1"/>
    <xf numFmtId="0" fontId="219" fillId="3" borderId="0" xfId="0" applyFont="1" applyFill="1" applyBorder="1" applyAlignment="1"/>
    <xf numFmtId="0" fontId="220" fillId="3" borderId="0" xfId="0" applyFont="1" applyFill="1" applyBorder="1" applyAlignment="1"/>
    <xf numFmtId="0" fontId="221" fillId="3" borderId="0" xfId="0" applyFont="1" applyFill="1"/>
    <xf numFmtId="0" fontId="216" fillId="3" borderId="0" xfId="0" applyFont="1" applyFill="1" applyBorder="1" applyAlignment="1">
      <alignment horizontal="left"/>
    </xf>
    <xf numFmtId="1" fontId="103" fillId="3" borderId="29" xfId="0" applyNumberFormat="1" applyFont="1" applyFill="1" applyBorder="1" applyAlignment="1">
      <alignment horizontal="center"/>
    </xf>
    <xf numFmtId="1" fontId="103" fillId="3" borderId="19" xfId="0" applyNumberFormat="1" applyFont="1" applyFill="1" applyBorder="1" applyAlignment="1">
      <alignment horizontal="center"/>
    </xf>
    <xf numFmtId="0" fontId="207" fillId="3" borderId="21" xfId="0" applyFont="1" applyFill="1" applyBorder="1" applyAlignment="1">
      <alignment horizontal="center"/>
    </xf>
    <xf numFmtId="0" fontId="214" fillId="3" borderId="0" xfId="0" applyFont="1" applyFill="1" applyBorder="1" applyAlignment="1">
      <alignment horizontal="left"/>
    </xf>
    <xf numFmtId="0" fontId="224" fillId="5" borderId="18" xfId="0" applyFont="1" applyFill="1" applyBorder="1" applyAlignment="1"/>
    <xf numFmtId="0" fontId="206" fillId="3" borderId="26" xfId="0" applyFont="1" applyFill="1" applyBorder="1" applyAlignment="1"/>
    <xf numFmtId="0" fontId="214" fillId="5" borderId="19" xfId="0" applyFont="1" applyFill="1" applyBorder="1" applyAlignment="1">
      <alignment horizontal="left"/>
    </xf>
    <xf numFmtId="0" fontId="147" fillId="3" borderId="0" xfId="0" applyFont="1" applyFill="1" applyBorder="1"/>
    <xf numFmtId="0" fontId="216" fillId="3" borderId="36" xfId="0" applyFont="1" applyFill="1" applyBorder="1" applyAlignment="1"/>
    <xf numFmtId="0" fontId="216" fillId="3" borderId="23" xfId="0" applyFont="1" applyFill="1" applyBorder="1" applyAlignment="1"/>
    <xf numFmtId="0" fontId="216" fillId="3" borderId="18" xfId="0" applyFont="1" applyFill="1" applyBorder="1" applyAlignment="1"/>
    <xf numFmtId="0" fontId="216" fillId="3" borderId="26" xfId="0" applyFont="1" applyFill="1" applyBorder="1" applyAlignment="1"/>
    <xf numFmtId="0" fontId="216" fillId="3" borderId="37" xfId="0" applyFont="1" applyFill="1" applyBorder="1" applyAlignment="1"/>
    <xf numFmtId="0" fontId="216" fillId="3" borderId="38" xfId="0" applyFont="1" applyFill="1" applyBorder="1" applyAlignment="1"/>
    <xf numFmtId="0" fontId="205" fillId="3" borderId="8" xfId="0" applyFont="1" applyFill="1" applyBorder="1" applyAlignment="1">
      <alignment horizontal="right"/>
    </xf>
    <xf numFmtId="0" fontId="205" fillId="3" borderId="2" xfId="0" applyFont="1" applyFill="1" applyBorder="1" applyAlignment="1">
      <alignment horizontal="right"/>
    </xf>
    <xf numFmtId="0" fontId="211" fillId="3" borderId="9" xfId="0" applyFont="1" applyFill="1" applyBorder="1" applyAlignment="1"/>
    <xf numFmtId="0" fontId="3" fillId="3" borderId="6" xfId="0" applyFont="1" applyFill="1" applyBorder="1"/>
    <xf numFmtId="0" fontId="211" fillId="3" borderId="7" xfId="0" applyFont="1" applyFill="1" applyBorder="1" applyAlignment="1"/>
    <xf numFmtId="0" fontId="103" fillId="3" borderId="4" xfId="0" applyFont="1" applyFill="1" applyBorder="1" applyAlignment="1">
      <alignment horizontal="center"/>
    </xf>
    <xf numFmtId="0" fontId="216" fillId="3" borderId="4" xfId="0" applyFont="1" applyFill="1" applyBorder="1" applyAlignment="1">
      <alignment horizontal="center"/>
    </xf>
    <xf numFmtId="0" fontId="205" fillId="10" borderId="8" xfId="0" applyFont="1" applyFill="1" applyBorder="1" applyAlignment="1">
      <alignment horizontal="right"/>
    </xf>
    <xf numFmtId="0" fontId="205" fillId="10" borderId="2" xfId="0" applyFont="1" applyFill="1" applyBorder="1" applyAlignment="1">
      <alignment horizontal="right"/>
    </xf>
    <xf numFmtId="0" fontId="3" fillId="10" borderId="2" xfId="0" applyFont="1" applyFill="1" applyBorder="1" applyAlignment="1"/>
    <xf numFmtId="0" fontId="3" fillId="10" borderId="3" xfId="0" applyFont="1" applyFill="1" applyBorder="1" applyAlignment="1"/>
    <xf numFmtId="0" fontId="0" fillId="10" borderId="9" xfId="0" applyFill="1" applyBorder="1"/>
    <xf numFmtId="0" fontId="3" fillId="10" borderId="0" xfId="0" applyFont="1" applyFill="1" applyBorder="1"/>
    <xf numFmtId="0" fontId="0" fillId="10" borderId="6" xfId="0" applyFill="1" applyBorder="1"/>
    <xf numFmtId="0" fontId="3" fillId="8" borderId="0" xfId="0" applyFont="1" applyFill="1" applyBorder="1"/>
    <xf numFmtId="0" fontId="103" fillId="8" borderId="0" xfId="0" applyFont="1" applyFill="1" applyBorder="1" applyAlignment="1">
      <alignment horizontal="center"/>
    </xf>
    <xf numFmtId="0" fontId="216" fillId="8" borderId="0" xfId="0" applyFont="1" applyFill="1" applyBorder="1" applyAlignment="1">
      <alignment horizontal="center"/>
    </xf>
    <xf numFmtId="0" fontId="211" fillId="10" borderId="7" xfId="0" applyFont="1" applyFill="1" applyBorder="1" applyAlignment="1"/>
    <xf numFmtId="0" fontId="103" fillId="10" borderId="4" xfId="0" applyFont="1" applyFill="1" applyBorder="1" applyAlignment="1">
      <alignment horizontal="center"/>
    </xf>
    <xf numFmtId="0" fontId="3" fillId="10" borderId="4" xfId="0" applyFont="1" applyFill="1" applyBorder="1"/>
    <xf numFmtId="0" fontId="216" fillId="10" borderId="4" xfId="0" applyFont="1" applyFill="1" applyBorder="1" applyAlignment="1">
      <alignment horizontal="center"/>
    </xf>
    <xf numFmtId="0" fontId="3" fillId="10" borderId="5" xfId="0" applyFont="1" applyFill="1" applyBorder="1"/>
    <xf numFmtId="0" fontId="222" fillId="15" borderId="0" xfId="0" applyFont="1" applyFill="1" applyAlignment="1"/>
    <xf numFmtId="0" fontId="216" fillId="3" borderId="15" xfId="0" applyFont="1" applyFill="1" applyBorder="1" applyAlignment="1">
      <alignment horizontal="center"/>
    </xf>
    <xf numFmtId="0" fontId="216" fillId="3" borderId="17" xfId="0" applyFont="1" applyFill="1" applyBorder="1" applyAlignment="1">
      <alignment horizontal="center"/>
    </xf>
    <xf numFmtId="0" fontId="216" fillId="3" borderId="28" xfId="0" applyFont="1" applyFill="1" applyBorder="1" applyAlignment="1">
      <alignment horizontal="center"/>
    </xf>
    <xf numFmtId="0" fontId="216" fillId="3" borderId="18" xfId="0" applyFont="1" applyFill="1" applyBorder="1" applyAlignment="1">
      <alignment horizontal="center"/>
    </xf>
    <xf numFmtId="0" fontId="0" fillId="8" borderId="13" xfId="0" applyFill="1" applyBorder="1"/>
    <xf numFmtId="0" fontId="0" fillId="8" borderId="10" xfId="0" applyFill="1" applyBorder="1"/>
    <xf numFmtId="0" fontId="211" fillId="8" borderId="25" xfId="0" applyFont="1" applyFill="1" applyBorder="1" applyAlignment="1"/>
    <xf numFmtId="0" fontId="103" fillId="8" borderId="11" xfId="0" applyFont="1" applyFill="1" applyBorder="1" applyAlignment="1">
      <alignment horizontal="center"/>
    </xf>
    <xf numFmtId="0" fontId="3" fillId="8" borderId="11" xfId="0" applyFont="1" applyFill="1" applyBorder="1"/>
    <xf numFmtId="0" fontId="216" fillId="8" borderId="11" xfId="0" applyFont="1" applyFill="1" applyBorder="1" applyAlignment="1">
      <alignment horizontal="center"/>
    </xf>
    <xf numFmtId="0" fontId="3" fillId="8" borderId="29" xfId="0" applyFont="1" applyFill="1" applyBorder="1"/>
    <xf numFmtId="0" fontId="211" fillId="3" borderId="17" xfId="0" applyFont="1" applyFill="1" applyBorder="1" applyAlignment="1"/>
    <xf numFmtId="0" fontId="103" fillId="3" borderId="28" xfId="0" applyFont="1" applyFill="1" applyBorder="1" applyAlignment="1">
      <alignment horizontal="center"/>
    </xf>
    <xf numFmtId="0" fontId="211" fillId="3" borderId="13" xfId="0" applyFont="1" applyFill="1" applyBorder="1" applyAlignment="1"/>
    <xf numFmtId="0" fontId="211" fillId="3" borderId="25" xfId="0" applyFont="1" applyFill="1" applyBorder="1" applyAlignment="1"/>
    <xf numFmtId="0" fontId="103" fillId="3" borderId="11" xfId="0" applyFont="1" applyFill="1" applyBorder="1" applyAlignment="1">
      <alignment horizontal="center"/>
    </xf>
    <xf numFmtId="0" fontId="216" fillId="3" borderId="11" xfId="0" applyFont="1" applyFill="1" applyBorder="1" applyAlignment="1">
      <alignment horizontal="center"/>
    </xf>
    <xf numFmtId="0" fontId="216" fillId="3" borderId="0" xfId="0" applyFont="1" applyFill="1"/>
    <xf numFmtId="0" fontId="210" fillId="3" borderId="39" xfId="0" applyFont="1" applyFill="1" applyBorder="1" applyAlignment="1"/>
    <xf numFmtId="0" fontId="212" fillId="5" borderId="19" xfId="0" applyFont="1" applyFill="1" applyBorder="1" applyAlignment="1">
      <alignment horizontal="left"/>
    </xf>
    <xf numFmtId="0" fontId="230" fillId="5" borderId="18" xfId="0" applyFont="1" applyFill="1" applyBorder="1" applyAlignment="1"/>
    <xf numFmtId="0" fontId="231" fillId="3" borderId="36" xfId="0" applyFont="1" applyFill="1" applyBorder="1" applyAlignment="1"/>
    <xf numFmtId="0" fontId="232" fillId="3" borderId="0" xfId="0" applyFont="1" applyFill="1"/>
    <xf numFmtId="1" fontId="103" fillId="3" borderId="38" xfId="0" applyNumberFormat="1" applyFont="1" applyFill="1" applyBorder="1" applyAlignment="1">
      <alignment horizontal="center"/>
    </xf>
    <xf numFmtId="0" fontId="216" fillId="3" borderId="0" xfId="0" applyFont="1" applyFill="1" applyBorder="1" applyAlignment="1"/>
    <xf numFmtId="0" fontId="205" fillId="3" borderId="0" xfId="0" applyFont="1" applyFill="1" applyBorder="1" applyAlignment="1">
      <alignment horizontal="left"/>
    </xf>
    <xf numFmtId="0" fontId="233" fillId="3" borderId="0" xfId="0" applyFont="1" applyFill="1" applyAlignment="1"/>
    <xf numFmtId="0" fontId="193" fillId="3" borderId="0" xfId="0" applyFont="1" applyFill="1" applyAlignment="1"/>
    <xf numFmtId="0" fontId="193" fillId="3" borderId="4" xfId="0" applyFont="1" applyFill="1" applyBorder="1"/>
    <xf numFmtId="0" fontId="234" fillId="3" borderId="0" xfId="0" applyFont="1" applyFill="1" applyBorder="1" applyAlignment="1"/>
    <xf numFmtId="0" fontId="215" fillId="15" borderId="0" xfId="0" applyFont="1" applyFill="1"/>
    <xf numFmtId="0" fontId="215" fillId="15" borderId="0" xfId="0" applyFont="1" applyFill="1" applyAlignment="1"/>
    <xf numFmtId="1" fontId="103" fillId="3" borderId="0" xfId="0" applyNumberFormat="1" applyFont="1" applyFill="1" applyBorder="1" applyAlignment="1">
      <alignment horizontal="center"/>
    </xf>
    <xf numFmtId="0" fontId="213" fillId="3" borderId="0" xfId="0" applyFont="1" applyFill="1" applyBorder="1" applyAlignment="1"/>
    <xf numFmtId="0" fontId="225" fillId="3" borderId="0" xfId="0" applyFont="1" applyFill="1" applyBorder="1" applyAlignment="1">
      <alignment horizontal="center" vertical="center"/>
    </xf>
    <xf numFmtId="0" fontId="161" fillId="3" borderId="11" xfId="0" applyFont="1" applyFill="1" applyBorder="1"/>
    <xf numFmtId="0" fontId="161" fillId="3" borderId="0" xfId="0" applyFont="1" applyFill="1" applyBorder="1"/>
    <xf numFmtId="0" fontId="161" fillId="3" borderId="0" xfId="0" applyFont="1" applyFill="1" applyBorder="1" applyAlignment="1"/>
    <xf numFmtId="0" fontId="205" fillId="3" borderId="3" xfId="0" applyFont="1" applyFill="1" applyBorder="1" applyAlignment="1">
      <alignment horizontal="right"/>
    </xf>
    <xf numFmtId="0" fontId="0" fillId="3" borderId="6" xfId="0" applyFill="1" applyBorder="1" applyAlignment="1"/>
    <xf numFmtId="0" fontId="213" fillId="3" borderId="6" xfId="0" applyFont="1" applyFill="1" applyBorder="1" applyAlignment="1"/>
    <xf numFmtId="0" fontId="205" fillId="3" borderId="6" xfId="0" applyFont="1" applyFill="1" applyBorder="1" applyAlignment="1">
      <alignment horizontal="right"/>
    </xf>
    <xf numFmtId="0" fontId="221" fillId="3" borderId="0" xfId="0" applyFont="1" applyFill="1" applyBorder="1"/>
    <xf numFmtId="0" fontId="218" fillId="3" borderId="0" xfId="0" applyFont="1" applyFill="1" applyBorder="1"/>
    <xf numFmtId="0" fontId="161" fillId="3" borderId="6" xfId="0" applyFont="1" applyFill="1" applyBorder="1"/>
    <xf numFmtId="0" fontId="161" fillId="3" borderId="9" xfId="0" applyFont="1" applyFill="1" applyBorder="1"/>
    <xf numFmtId="0" fontId="232" fillId="3" borderId="0" xfId="0" applyFont="1" applyFill="1" applyBorder="1"/>
    <xf numFmtId="0" fontId="211" fillId="8" borderId="0" xfId="0" applyFont="1" applyFill="1" applyBorder="1" applyAlignment="1"/>
    <xf numFmtId="0" fontId="229" fillId="3" borderId="0" xfId="0" applyFont="1" applyFill="1" applyBorder="1" applyAlignment="1">
      <alignment horizontal="center" vertical="center"/>
    </xf>
    <xf numFmtId="0" fontId="228" fillId="3" borderId="11" xfId="0" applyFont="1" applyFill="1" applyBorder="1" applyAlignment="1">
      <alignment horizontal="center" vertical="center"/>
    </xf>
    <xf numFmtId="0" fontId="237" fillId="3" borderId="0" xfId="0" applyFont="1" applyFill="1" applyBorder="1" applyAlignment="1">
      <alignment horizontal="center" vertical="center"/>
    </xf>
    <xf numFmtId="0" fontId="237" fillId="3" borderId="11" xfId="0" applyFont="1" applyFill="1" applyBorder="1" applyAlignment="1">
      <alignment horizontal="center" vertical="center"/>
    </xf>
    <xf numFmtId="0" fontId="243" fillId="3" borderId="0" xfId="0" applyFont="1" applyFill="1" applyBorder="1"/>
    <xf numFmtId="0" fontId="161" fillId="3" borderId="4" xfId="0" applyFont="1" applyFill="1" applyBorder="1"/>
    <xf numFmtId="0" fontId="216" fillId="3" borderId="25" xfId="0" applyFont="1" applyFill="1" applyBorder="1" applyAlignment="1">
      <alignment horizontal="center"/>
    </xf>
    <xf numFmtId="0" fontId="169" fillId="3" borderId="0" xfId="0" applyFont="1" applyFill="1" applyBorder="1"/>
    <xf numFmtId="0" fontId="248" fillId="3" borderId="0" xfId="0" applyFont="1" applyFill="1" applyBorder="1"/>
    <xf numFmtId="0" fontId="95" fillId="3" borderId="0" xfId="0" applyFont="1" applyFill="1" applyBorder="1"/>
    <xf numFmtId="1" fontId="95" fillId="3" borderId="0" xfId="0" applyNumberFormat="1" applyFont="1" applyFill="1" applyBorder="1"/>
    <xf numFmtId="0" fontId="250" fillId="3" borderId="11" xfId="0" applyFont="1" applyFill="1" applyBorder="1" applyAlignment="1">
      <alignment horizontal="center"/>
    </xf>
    <xf numFmtId="0" fontId="3" fillId="3" borderId="11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252" fillId="3" borderId="23" xfId="0" applyFont="1" applyFill="1" applyBorder="1" applyAlignment="1"/>
    <xf numFmtId="0" fontId="228" fillId="3" borderId="23" xfId="0" applyFont="1" applyFill="1" applyBorder="1" applyAlignment="1"/>
    <xf numFmtId="0" fontId="161" fillId="15" borderId="0" xfId="0" applyFont="1" applyFill="1"/>
    <xf numFmtId="0" fontId="157" fillId="3" borderId="0" xfId="0" applyFont="1" applyFill="1" applyBorder="1" applyAlignment="1">
      <alignment horizontal="right"/>
    </xf>
    <xf numFmtId="0" fontId="240" fillId="3" borderId="39" xfId="0" applyFont="1" applyFill="1" applyBorder="1" applyAlignment="1"/>
    <xf numFmtId="0" fontId="240" fillId="3" borderId="26" xfId="0" applyFont="1" applyFill="1" applyBorder="1" applyAlignment="1"/>
    <xf numFmtId="0" fontId="240" fillId="3" borderId="38" xfId="0" applyFont="1" applyFill="1" applyBorder="1" applyAlignment="1"/>
    <xf numFmtId="0" fontId="240" fillId="3" borderId="0" xfId="0" applyFont="1" applyFill="1" applyBorder="1" applyAlignment="1"/>
    <xf numFmtId="0" fontId="216" fillId="3" borderId="38" xfId="0" applyFont="1" applyFill="1" applyBorder="1" applyAlignment="1">
      <alignment horizontal="center" vertical="center"/>
    </xf>
    <xf numFmtId="0" fontId="249" fillId="3" borderId="38" xfId="0" applyFont="1" applyFill="1" applyBorder="1" applyAlignment="1">
      <alignment horizontal="center" vertical="center"/>
    </xf>
    <xf numFmtId="0" fontId="240" fillId="3" borderId="38" xfId="0" applyFont="1" applyFill="1" applyBorder="1" applyAlignment="1">
      <alignment horizontal="center"/>
    </xf>
    <xf numFmtId="0" fontId="209" fillId="3" borderId="11" xfId="0" applyFont="1" applyFill="1" applyBorder="1" applyAlignment="1">
      <alignment horizontal="center"/>
    </xf>
    <xf numFmtId="0" fontId="177" fillId="3" borderId="11" xfId="0" applyFont="1" applyFill="1" applyBorder="1" applyAlignment="1">
      <alignment horizontal="center"/>
    </xf>
    <xf numFmtId="0" fontId="209" fillId="3" borderId="4" xfId="0" applyFont="1" applyFill="1" applyBorder="1" applyAlignment="1">
      <alignment horizontal="center"/>
    </xf>
    <xf numFmtId="0" fontId="250" fillId="3" borderId="4" xfId="0" applyFont="1" applyFill="1" applyBorder="1" applyAlignment="1">
      <alignment horizontal="center"/>
    </xf>
    <xf numFmtId="0" fontId="177" fillId="3" borderId="4" xfId="0" applyFont="1" applyFill="1" applyBorder="1" applyAlignment="1">
      <alignment horizontal="center"/>
    </xf>
    <xf numFmtId="0" fontId="213" fillId="3" borderId="5" xfId="0" applyFont="1" applyFill="1" applyBorder="1" applyAlignment="1"/>
    <xf numFmtId="0" fontId="172" fillId="3" borderId="9" xfId="0" applyFont="1" applyFill="1" applyBorder="1"/>
    <xf numFmtId="0" fontId="172" fillId="3" borderId="7" xfId="0" applyFont="1" applyFill="1" applyBorder="1"/>
    <xf numFmtId="0" fontId="211" fillId="19" borderId="0" xfId="0" applyFont="1" applyFill="1" applyBorder="1" applyAlignment="1"/>
    <xf numFmtId="0" fontId="103" fillId="19" borderId="0" xfId="0" applyFont="1" applyFill="1" applyBorder="1" applyAlignment="1">
      <alignment horizontal="center"/>
    </xf>
    <xf numFmtId="0" fontId="0" fillId="19" borderId="0" xfId="0" applyFill="1" applyBorder="1"/>
    <xf numFmtId="0" fontId="216" fillId="19" borderId="0" xfId="0" applyFont="1" applyFill="1" applyBorder="1" applyAlignment="1">
      <alignment horizontal="center"/>
    </xf>
    <xf numFmtId="0" fontId="228" fillId="19" borderId="11" xfId="0" applyFont="1" applyFill="1" applyBorder="1" applyAlignment="1">
      <alignment horizontal="center" vertical="center"/>
    </xf>
    <xf numFmtId="0" fontId="229" fillId="19" borderId="0" xfId="0" applyFont="1" applyFill="1" applyBorder="1" applyAlignment="1">
      <alignment horizontal="center" vertical="center"/>
    </xf>
    <xf numFmtId="0" fontId="228" fillId="3" borderId="17" xfId="0" applyFont="1" applyFill="1" applyBorder="1" applyAlignment="1">
      <alignment horizontal="center" vertical="center"/>
    </xf>
    <xf numFmtId="0" fontId="254" fillId="3" borderId="28" xfId="0" applyFont="1" applyFill="1" applyBorder="1" applyAlignment="1">
      <alignment horizontal="center" vertical="center"/>
    </xf>
    <xf numFmtId="0" fontId="256" fillId="3" borderId="28" xfId="0" applyFont="1" applyFill="1" applyBorder="1"/>
    <xf numFmtId="0" fontId="228" fillId="3" borderId="25" xfId="0" applyFont="1" applyFill="1" applyBorder="1" applyAlignment="1">
      <alignment horizontal="center" vertical="center"/>
    </xf>
    <xf numFmtId="0" fontId="258" fillId="3" borderId="11" xfId="0" applyFont="1" applyFill="1" applyBorder="1" applyAlignment="1">
      <alignment horizontal="center" vertical="center"/>
    </xf>
    <xf numFmtId="0" fontId="253" fillId="3" borderId="11" xfId="0" applyFont="1" applyFill="1" applyBorder="1"/>
    <xf numFmtId="0" fontId="241" fillId="3" borderId="2" xfId="0" applyFont="1" applyFill="1" applyBorder="1" applyAlignment="1">
      <alignment vertical="center"/>
    </xf>
    <xf numFmtId="0" fontId="261" fillId="3" borderId="21" xfId="0" applyFont="1" applyFill="1" applyBorder="1" applyAlignment="1">
      <alignment horizontal="center"/>
    </xf>
    <xf numFmtId="0" fontId="252" fillId="3" borderId="36" xfId="0" applyFont="1" applyFill="1" applyBorder="1" applyAlignment="1"/>
    <xf numFmtId="0" fontId="161" fillId="3" borderId="0" xfId="0" applyFont="1" applyFill="1" applyAlignment="1"/>
    <xf numFmtId="0" fontId="157" fillId="3" borderId="0" xfId="0" applyFont="1" applyFill="1" applyBorder="1" applyAlignment="1">
      <alignment horizontal="left"/>
    </xf>
    <xf numFmtId="0" fontId="244" fillId="3" borderId="0" xfId="0" applyFont="1" applyFill="1" applyAlignment="1">
      <alignment horizontal="center"/>
    </xf>
    <xf numFmtId="0" fontId="264" fillId="3" borderId="0" xfId="0" applyFont="1" applyFill="1" applyBorder="1" applyAlignment="1"/>
    <xf numFmtId="0" fontId="161" fillId="3" borderId="7" xfId="0" applyFont="1" applyFill="1" applyBorder="1" applyAlignment="1"/>
    <xf numFmtId="0" fontId="262" fillId="3" borderId="0" xfId="0" applyFont="1" applyFill="1" applyBorder="1" applyAlignment="1">
      <alignment horizontal="left"/>
    </xf>
    <xf numFmtId="0" fontId="157" fillId="3" borderId="0" xfId="0" applyFont="1" applyFill="1" applyBorder="1" applyAlignment="1"/>
    <xf numFmtId="0" fontId="205" fillId="3" borderId="11" xfId="0" applyFont="1" applyFill="1" applyBorder="1" applyAlignment="1">
      <alignment horizontal="right"/>
    </xf>
    <xf numFmtId="0" fontId="266" fillId="3" borderId="0" xfId="0" applyFont="1" applyFill="1" applyAlignment="1"/>
    <xf numFmtId="0" fontId="262" fillId="11" borderId="0" xfId="0" applyFont="1" applyFill="1" applyBorder="1" applyAlignment="1"/>
    <xf numFmtId="0" fontId="265" fillId="11" borderId="0" xfId="0" applyFont="1" applyFill="1" applyBorder="1" applyAlignment="1">
      <alignment horizontal="left"/>
    </xf>
    <xf numFmtId="0" fontId="190" fillId="18" borderId="18" xfId="0" applyFont="1" applyFill="1" applyBorder="1" applyAlignment="1">
      <alignment horizontal="center"/>
    </xf>
    <xf numFmtId="0" fontId="190" fillId="3" borderId="18" xfId="0" applyFont="1" applyFill="1" applyBorder="1" applyAlignment="1">
      <alignment horizontal="center"/>
    </xf>
    <xf numFmtId="0" fontId="190" fillId="18" borderId="19" xfId="0" applyFont="1" applyFill="1" applyBorder="1" applyAlignment="1">
      <alignment horizontal="center"/>
    </xf>
    <xf numFmtId="0" fontId="190" fillId="3" borderId="19" xfId="0" applyFont="1" applyFill="1" applyBorder="1" applyAlignment="1">
      <alignment horizontal="center"/>
    </xf>
    <xf numFmtId="0" fontId="192" fillId="3" borderId="0" xfId="0" applyFont="1" applyFill="1" applyBorder="1" applyAlignment="1">
      <alignment vertical="top"/>
    </xf>
    <xf numFmtId="0" fontId="187" fillId="5" borderId="26" xfId="0" applyFont="1" applyFill="1" applyBorder="1" applyAlignment="1">
      <alignment horizontal="center"/>
    </xf>
    <xf numFmtId="0" fontId="187" fillId="3" borderId="26" xfId="0" applyFont="1" applyFill="1" applyBorder="1" applyAlignment="1">
      <alignment horizontal="center"/>
    </xf>
    <xf numFmtId="0" fontId="196" fillId="5" borderId="25" xfId="0" applyFont="1" applyFill="1" applyBorder="1" applyAlignment="1">
      <alignment horizontal="center"/>
    </xf>
    <xf numFmtId="0" fontId="196" fillId="3" borderId="18" xfId="0" applyFont="1" applyFill="1" applyBorder="1" applyAlignment="1">
      <alignment horizontal="center"/>
    </xf>
    <xf numFmtId="0" fontId="196" fillId="5" borderId="18" xfId="0" applyFont="1" applyFill="1" applyBorder="1" applyAlignment="1">
      <alignment horizontal="center"/>
    </xf>
    <xf numFmtId="0" fontId="196" fillId="3" borderId="0" xfId="0" applyFont="1" applyFill="1" applyBorder="1" applyAlignment="1">
      <alignment horizontal="center" vertical="top"/>
    </xf>
    <xf numFmtId="0" fontId="196" fillId="3" borderId="0" xfId="0" applyFont="1" applyFill="1" applyBorder="1" applyAlignment="1">
      <alignment horizontal="right" vertical="top"/>
    </xf>
    <xf numFmtId="0" fontId="196" fillId="3" borderId="0" xfId="0" applyFont="1" applyFill="1" applyBorder="1" applyAlignment="1"/>
    <xf numFmtId="0" fontId="185" fillId="8" borderId="29" xfId="0" applyFont="1" applyFill="1" applyBorder="1" applyAlignment="1">
      <alignment horizontal="center"/>
    </xf>
    <xf numFmtId="0" fontId="190" fillId="18" borderId="25" xfId="0" applyFont="1" applyFill="1" applyBorder="1" applyAlignment="1">
      <alignment horizontal="center"/>
    </xf>
    <xf numFmtId="0" fontId="188" fillId="8" borderId="15" xfId="0" applyFont="1" applyFill="1" applyBorder="1" applyAlignment="1">
      <alignment horizontal="center" vertical="top" wrapText="1"/>
    </xf>
    <xf numFmtId="0" fontId="196" fillId="3" borderId="15" xfId="0" quotePrefix="1" applyFont="1" applyFill="1" applyBorder="1" applyAlignment="1">
      <alignment horizontal="center" vertical="top" wrapText="1"/>
    </xf>
    <xf numFmtId="0" fontId="269" fillId="3" borderId="2" xfId="0" applyFont="1" applyFill="1" applyBorder="1" applyAlignment="1">
      <alignment horizontal="center"/>
    </xf>
    <xf numFmtId="0" fontId="253" fillId="3" borderId="11" xfId="0" applyFont="1" applyFill="1" applyBorder="1" applyAlignment="1"/>
    <xf numFmtId="0" fontId="188" fillId="8" borderId="2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/>
    </xf>
    <xf numFmtId="0" fontId="247" fillId="3" borderId="26" xfId="0" applyFont="1" applyFill="1" applyBorder="1" applyAlignment="1">
      <alignment horizontal="center"/>
    </xf>
    <xf numFmtId="0" fontId="0" fillId="3" borderId="44" xfId="0" applyFill="1" applyBorder="1"/>
    <xf numFmtId="0" fontId="187" fillId="3" borderId="6" xfId="0" applyFont="1" applyFill="1" applyBorder="1" applyAlignment="1">
      <alignment horizontal="center"/>
    </xf>
    <xf numFmtId="0" fontId="186" fillId="3" borderId="4" xfId="0" applyFont="1" applyFill="1" applyBorder="1" applyAlignment="1">
      <alignment horizontal="center"/>
    </xf>
    <xf numFmtId="0" fontId="187" fillId="3" borderId="5" xfId="0" applyFont="1" applyFill="1" applyBorder="1" applyAlignment="1">
      <alignment horizontal="center"/>
    </xf>
    <xf numFmtId="0" fontId="188" fillId="3" borderId="0" xfId="0" applyFont="1" applyFill="1" applyBorder="1" applyAlignment="1">
      <alignment horizontal="center"/>
    </xf>
    <xf numFmtId="0" fontId="169" fillId="3" borderId="4" xfId="0" applyFont="1" applyFill="1" applyBorder="1"/>
    <xf numFmtId="0" fontId="267" fillId="3" borderId="0" xfId="0" applyFont="1" applyFill="1" applyBorder="1"/>
    <xf numFmtId="0" fontId="173" fillId="3" borderId="0" xfId="0" applyFont="1" applyFill="1" applyBorder="1"/>
    <xf numFmtId="0" fontId="95" fillId="3" borderId="0" xfId="0" applyFont="1" applyFill="1" applyBorder="1" applyAlignment="1"/>
    <xf numFmtId="0" fontId="272" fillId="3" borderId="26" xfId="0" quotePrefix="1" applyFont="1" applyFill="1" applyBorder="1" applyAlignment="1">
      <alignment wrapText="1"/>
    </xf>
    <xf numFmtId="0" fontId="272" fillId="3" borderId="19" xfId="0" applyFont="1" applyFill="1" applyBorder="1" applyAlignment="1">
      <alignment wrapText="1"/>
    </xf>
    <xf numFmtId="0" fontId="272" fillId="3" borderId="18" xfId="0" applyFont="1" applyFill="1" applyBorder="1" applyAlignment="1"/>
    <xf numFmtId="0" fontId="137" fillId="3" borderId="18" xfId="0" applyFont="1" applyFill="1" applyBorder="1" applyAlignment="1">
      <alignment horizontal="center"/>
    </xf>
    <xf numFmtId="0" fontId="137" fillId="3" borderId="26" xfId="0" applyFont="1" applyFill="1" applyBorder="1" applyAlignment="1">
      <alignment horizontal="center"/>
    </xf>
    <xf numFmtId="0" fontId="137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35" fillId="3" borderId="0" xfId="0" applyFont="1" applyFill="1" applyBorder="1" applyAlignment="1">
      <alignment horizontal="left"/>
    </xf>
    <xf numFmtId="0" fontId="251" fillId="3" borderId="28" xfId="0" applyFont="1" applyFill="1" applyBorder="1" applyAlignment="1">
      <alignment horizontal="center" vertical="center"/>
    </xf>
    <xf numFmtId="0" fontId="251" fillId="3" borderId="4" xfId="0" applyFont="1" applyFill="1" applyBorder="1" applyAlignment="1">
      <alignment horizontal="center" vertical="center"/>
    </xf>
    <xf numFmtId="0" fontId="225" fillId="3" borderId="28" xfId="0" applyFont="1" applyFill="1" applyBorder="1" applyAlignment="1">
      <alignment horizontal="center" vertical="top"/>
    </xf>
    <xf numFmtId="0" fontId="225" fillId="3" borderId="11" xfId="0" applyFont="1" applyFill="1" applyBorder="1" applyAlignment="1">
      <alignment horizontal="center" vertical="top"/>
    </xf>
    <xf numFmtId="0" fontId="251" fillId="3" borderId="11" xfId="0" applyFont="1" applyFill="1" applyBorder="1" applyAlignment="1">
      <alignment horizontal="center" vertical="center"/>
    </xf>
    <xf numFmtId="0" fontId="241" fillId="3" borderId="28" xfId="0" applyFont="1" applyFill="1" applyBorder="1" applyAlignment="1">
      <alignment horizontal="left" vertical="center"/>
    </xf>
    <xf numFmtId="0" fontId="241" fillId="3" borderId="11" xfId="0" applyFont="1" applyFill="1" applyBorder="1" applyAlignment="1">
      <alignment horizontal="left" vertical="center"/>
    </xf>
    <xf numFmtId="0" fontId="241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25" fillId="3" borderId="28" xfId="0" applyFont="1" applyFill="1" applyBorder="1" applyAlignment="1">
      <alignment horizontal="center"/>
    </xf>
    <xf numFmtId="0" fontId="225" fillId="3" borderId="11" xfId="0" applyFont="1" applyFill="1" applyBorder="1" applyAlignment="1">
      <alignment horizontal="center"/>
    </xf>
    <xf numFmtId="0" fontId="216" fillId="3" borderId="27" xfId="0" applyFont="1" applyFill="1" applyBorder="1" applyAlignment="1">
      <alignment horizontal="center" vertical="center"/>
    </xf>
    <xf numFmtId="1" fontId="216" fillId="3" borderId="27" xfId="0" applyNumberFormat="1" applyFont="1" applyFill="1" applyBorder="1" applyAlignment="1">
      <alignment horizontal="center" vertical="center"/>
    </xf>
    <xf numFmtId="1" fontId="103" fillId="3" borderId="46" xfId="0" applyNumberFormat="1" applyFont="1" applyFill="1" applyBorder="1" applyAlignment="1">
      <alignment horizontal="center" vertical="center"/>
    </xf>
    <xf numFmtId="1" fontId="103" fillId="3" borderId="41" xfId="0" applyNumberFormat="1" applyFont="1" applyFill="1" applyBorder="1" applyAlignment="1">
      <alignment horizontal="center" vertical="center"/>
    </xf>
    <xf numFmtId="0" fontId="216" fillId="3" borderId="40" xfId="0" applyFont="1" applyFill="1" applyBorder="1" applyAlignment="1">
      <alignment horizontal="center" vertical="center"/>
    </xf>
    <xf numFmtId="1" fontId="103" fillId="3" borderId="43" xfId="0" applyNumberFormat="1" applyFont="1" applyFill="1" applyBorder="1" applyAlignment="1">
      <alignment horizontal="center" vertical="center"/>
    </xf>
    <xf numFmtId="1" fontId="103" fillId="3" borderId="45" xfId="0" applyNumberFormat="1" applyFont="1" applyFill="1" applyBorder="1" applyAlignment="1">
      <alignment horizontal="center" vertical="center"/>
    </xf>
    <xf numFmtId="1" fontId="103" fillId="3" borderId="42" xfId="0" applyNumberFormat="1" applyFont="1" applyFill="1" applyBorder="1" applyAlignment="1">
      <alignment horizontal="center" vertical="center"/>
    </xf>
    <xf numFmtId="0" fontId="228" fillId="3" borderId="17" xfId="0" applyFont="1" applyFill="1" applyBorder="1" applyAlignment="1">
      <alignment horizontal="center" vertical="center"/>
    </xf>
    <xf numFmtId="0" fontId="228" fillId="3" borderId="28" xfId="0" applyFont="1" applyFill="1" applyBorder="1" applyAlignment="1">
      <alignment horizontal="center" vertical="center"/>
    </xf>
    <xf numFmtId="0" fontId="228" fillId="3" borderId="13" xfId="0" applyFont="1" applyFill="1" applyBorder="1" applyAlignment="1">
      <alignment horizontal="center" vertical="center"/>
    </xf>
    <xf numFmtId="0" fontId="228" fillId="3" borderId="0" xfId="0" applyFont="1" applyFill="1" applyBorder="1" applyAlignment="1">
      <alignment horizontal="center" vertical="center"/>
    </xf>
    <xf numFmtId="0" fontId="242" fillId="3" borderId="28" xfId="0" quotePrefix="1" applyFont="1" applyFill="1" applyBorder="1" applyAlignment="1">
      <alignment horizontal="center" vertical="center"/>
    </xf>
    <xf numFmtId="0" fontId="242" fillId="3" borderId="11" xfId="0" applyFont="1" applyFill="1" applyBorder="1" applyAlignment="1">
      <alignment horizontal="center" vertical="center"/>
    </xf>
    <xf numFmtId="0" fontId="161" fillId="3" borderId="0" xfId="0" applyFont="1" applyFill="1" applyBorder="1" applyAlignment="1">
      <alignment horizontal="center" vertical="center"/>
    </xf>
    <xf numFmtId="0" fontId="225" fillId="3" borderId="0" xfId="0" applyFont="1" applyFill="1" applyBorder="1" applyAlignment="1">
      <alignment horizontal="center" vertical="center"/>
    </xf>
    <xf numFmtId="0" fontId="236" fillId="3" borderId="0" xfId="0" applyFont="1" applyFill="1" applyBorder="1" applyAlignment="1">
      <alignment horizontal="center" vertical="center"/>
    </xf>
    <xf numFmtId="0" fontId="226" fillId="3" borderId="43" xfId="0" applyFont="1" applyFill="1" applyBorder="1" applyAlignment="1">
      <alignment horizontal="center" vertical="center"/>
    </xf>
    <xf numFmtId="0" fontId="195" fillId="8" borderId="17" xfId="0" quotePrefix="1" applyFont="1" applyFill="1" applyBorder="1" applyAlignment="1">
      <alignment horizontal="center" vertical="top" wrapText="1"/>
    </xf>
    <xf numFmtId="0" fontId="195" fillId="8" borderId="25" xfId="0" quotePrefix="1" applyFont="1" applyFill="1" applyBorder="1" applyAlignment="1">
      <alignment horizontal="center" vertical="top" wrapText="1"/>
    </xf>
    <xf numFmtId="0" fontId="188" fillId="8" borderId="17" xfId="0" applyFont="1" applyFill="1" applyBorder="1" applyAlignment="1">
      <alignment horizontal="center" vertical="top" wrapText="1"/>
    </xf>
    <xf numFmtId="0" fontId="188" fillId="8" borderId="16" xfId="0" applyFont="1" applyFill="1" applyBorder="1" applyAlignment="1">
      <alignment horizontal="center" vertical="top" wrapText="1"/>
    </xf>
    <xf numFmtId="0" fontId="188" fillId="8" borderId="25" xfId="0" applyFont="1" applyFill="1" applyBorder="1" applyAlignment="1">
      <alignment horizontal="center" vertical="top" wrapText="1"/>
    </xf>
    <xf numFmtId="0" fontId="188" fillId="8" borderId="10" xfId="0" applyFont="1" applyFill="1" applyBorder="1" applyAlignment="1">
      <alignment horizontal="center" vertical="top" wrapText="1"/>
    </xf>
    <xf numFmtId="0" fontId="197" fillId="3" borderId="22" xfId="0" applyFont="1" applyFill="1" applyBorder="1" applyAlignment="1">
      <alignment horizontal="center" vertical="center" wrapText="1"/>
    </xf>
    <xf numFmtId="0" fontId="197" fillId="3" borderId="23" xfId="0" applyFont="1" applyFill="1" applyBorder="1" applyAlignment="1">
      <alignment horizontal="center" vertical="center" wrapText="1"/>
    </xf>
    <xf numFmtId="0" fontId="197" fillId="3" borderId="24" xfId="0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225" fillId="3" borderId="0" xfId="0" applyFont="1" applyFill="1" applyBorder="1" applyAlignment="1">
      <alignment horizontal="center"/>
    </xf>
    <xf numFmtId="0" fontId="225" fillId="3" borderId="0" xfId="0" applyFont="1" applyFill="1" applyBorder="1" applyAlignment="1">
      <alignment horizontal="center" vertical="top"/>
    </xf>
    <xf numFmtId="0" fontId="185" fillId="3" borderId="0" xfId="0" applyFont="1" applyFill="1" applyBorder="1" applyAlignment="1">
      <alignment horizontal="center" vertical="top" wrapText="1"/>
    </xf>
    <xf numFmtId="0" fontId="195" fillId="3" borderId="37" xfId="0" applyFont="1" applyFill="1" applyBorder="1" applyAlignment="1">
      <alignment horizontal="right" vertical="top"/>
    </xf>
    <xf numFmtId="0" fontId="195" fillId="3" borderId="38" xfId="0" applyFont="1" applyFill="1" applyBorder="1" applyAlignment="1">
      <alignment horizontal="right" vertical="top"/>
    </xf>
    <xf numFmtId="0" fontId="195" fillId="3" borderId="28" xfId="0" applyFont="1" applyFill="1" applyBorder="1" applyAlignment="1">
      <alignment horizontal="right" vertical="top"/>
    </xf>
    <xf numFmtId="0" fontId="195" fillId="3" borderId="16" xfId="0" applyFont="1" applyFill="1" applyBorder="1" applyAlignment="1">
      <alignment horizontal="right" vertical="top"/>
    </xf>
    <xf numFmtId="0" fontId="188" fillId="3" borderId="0" xfId="0" quotePrefix="1" applyFont="1" applyFill="1" applyBorder="1" applyAlignment="1">
      <alignment horizontal="center" wrapText="1"/>
    </xf>
    <xf numFmtId="0" fontId="185" fillId="0" borderId="0" xfId="0" applyFont="1" applyBorder="1" applyAlignment="1">
      <alignment horizontal="left" wrapText="1"/>
    </xf>
    <xf numFmtId="0" fontId="17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76" fillId="3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8" fillId="3" borderId="0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159" fillId="3" borderId="13" xfId="0" applyFont="1" applyFill="1" applyBorder="1" applyAlignment="1">
      <alignment horizontal="left" vertical="top" wrapText="1"/>
    </xf>
    <xf numFmtId="0" fontId="159" fillId="3" borderId="0" xfId="0" applyFont="1" applyFill="1" applyBorder="1" applyAlignment="1">
      <alignment horizontal="left" vertical="top" wrapText="1"/>
    </xf>
    <xf numFmtId="0" fontId="159" fillId="3" borderId="10" xfId="0" applyFont="1" applyFill="1" applyBorder="1" applyAlignment="1">
      <alignment horizontal="left" vertical="top" wrapText="1"/>
    </xf>
    <xf numFmtId="0" fontId="155" fillId="11" borderId="0" xfId="0" applyFont="1" applyFill="1" applyAlignment="1">
      <alignment horizontal="center"/>
    </xf>
    <xf numFmtId="0" fontId="157" fillId="11" borderId="27" xfId="0" applyFont="1" applyFill="1" applyBorder="1" applyAlignment="1">
      <alignment horizontal="center"/>
    </xf>
    <xf numFmtId="0" fontId="157" fillId="11" borderId="30" xfId="0" applyFont="1" applyFill="1" applyBorder="1" applyAlignment="1">
      <alignment horizontal="center"/>
    </xf>
    <xf numFmtId="0" fontId="96" fillId="3" borderId="0" xfId="0" applyFont="1" applyFill="1" applyAlignment="1">
      <alignment horizontal="left" wrapText="1"/>
    </xf>
    <xf numFmtId="0" fontId="129" fillId="11" borderId="27" xfId="0" applyFont="1" applyFill="1" applyBorder="1" applyAlignment="1">
      <alignment horizontal="center"/>
    </xf>
    <xf numFmtId="0" fontId="129" fillId="3" borderId="13" xfId="0" applyFont="1" applyFill="1" applyBorder="1" applyAlignment="1">
      <alignment horizontal="center"/>
    </xf>
    <xf numFmtId="0" fontId="129" fillId="3" borderId="0" xfId="0" applyFont="1" applyFill="1" applyBorder="1" applyAlignment="1">
      <alignment horizontal="center"/>
    </xf>
    <xf numFmtId="0" fontId="129" fillId="3" borderId="10" xfId="0" applyFont="1" applyFill="1" applyBorder="1" applyAlignment="1">
      <alignment horizontal="center"/>
    </xf>
    <xf numFmtId="0" fontId="129" fillId="3" borderId="25" xfId="0" applyFont="1" applyFill="1" applyBorder="1" applyAlignment="1">
      <alignment horizontal="center"/>
    </xf>
    <xf numFmtId="0" fontId="129" fillId="3" borderId="11" xfId="0" applyFont="1" applyFill="1" applyBorder="1" applyAlignment="1">
      <alignment horizontal="center"/>
    </xf>
    <xf numFmtId="0" fontId="129" fillId="3" borderId="2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49" fillId="8" borderId="0" xfId="1" applyFont="1" applyFill="1" applyAlignment="1" applyProtection="1">
      <alignment horizontal="center"/>
    </xf>
    <xf numFmtId="0" fontId="2" fillId="8" borderId="0" xfId="1" applyFill="1" applyAlignment="1" applyProtection="1">
      <alignment horizontal="center"/>
    </xf>
    <xf numFmtId="1" fontId="103" fillId="11" borderId="29" xfId="0" applyNumberFormat="1" applyFont="1" applyFill="1" applyBorder="1" applyAlignment="1">
      <alignment horizontal="center"/>
    </xf>
    <xf numFmtId="1" fontId="103" fillId="11" borderId="19" xfId="0" applyNumberFormat="1" applyFont="1" applyFill="1" applyBorder="1" applyAlignment="1">
      <alignment horizontal="center"/>
    </xf>
    <xf numFmtId="0" fontId="273" fillId="3" borderId="0" xfId="0" applyFont="1" applyFill="1"/>
    <xf numFmtId="0" fontId="274" fillId="3" borderId="0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009644"/>
      <color rgb="FFFFFFCC"/>
      <color rgb="FFCCFF99"/>
      <color rgb="FF87FD9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'Função de 1º Grau1'!$F$14</c:f>
              <c:strCache>
                <c:ptCount val="1"/>
                <c:pt idx="0">
                  <c:v>y1 =2x+4</c:v>
                </c:pt>
              </c:strCache>
            </c:strRef>
          </c:tx>
          <c:xVal>
            <c:numRef>
              <c:f>'Função de 1º Grau1'!$B$15:$B$25</c:f>
              <c:numCache>
                <c:formatCode>General</c:formatCode>
                <c:ptCount val="11"/>
                <c:pt idx="0">
                  <c:v>-1</c:v>
                </c:pt>
                <c:pt idx="1">
                  <c:v>0.10000000000000009</c:v>
                </c:pt>
                <c:pt idx="2">
                  <c:v>1.2000000000000002</c:v>
                </c:pt>
                <c:pt idx="3">
                  <c:v>2.3000000000000003</c:v>
                </c:pt>
                <c:pt idx="4">
                  <c:v>3.4000000000000004</c:v>
                </c:pt>
                <c:pt idx="5">
                  <c:v>4.5</c:v>
                </c:pt>
                <c:pt idx="6">
                  <c:v>5.6</c:v>
                </c:pt>
                <c:pt idx="7">
                  <c:v>6.6999999999999993</c:v>
                </c:pt>
                <c:pt idx="8">
                  <c:v>7.7999999999999989</c:v>
                </c:pt>
                <c:pt idx="9">
                  <c:v>8.8999999999999986</c:v>
                </c:pt>
                <c:pt idx="10">
                  <c:v>9.9999999999999982</c:v>
                </c:pt>
              </c:numCache>
            </c:numRef>
          </c:xVal>
          <c:yVal>
            <c:numRef>
              <c:f>'Função de 1º Grau1'!$F$15:$F$25</c:f>
              <c:numCache>
                <c:formatCode>General</c:formatCode>
                <c:ptCount val="11"/>
                <c:pt idx="0">
                  <c:v>2</c:v>
                </c:pt>
                <c:pt idx="1">
                  <c:v>4.2</c:v>
                </c:pt>
                <c:pt idx="2">
                  <c:v>6.4</c:v>
                </c:pt>
                <c:pt idx="3">
                  <c:v>8.6000000000000014</c:v>
                </c:pt>
                <c:pt idx="4">
                  <c:v>10.8</c:v>
                </c:pt>
                <c:pt idx="5">
                  <c:v>13</c:v>
                </c:pt>
                <c:pt idx="6">
                  <c:v>15.2</c:v>
                </c:pt>
                <c:pt idx="7">
                  <c:v>17.399999999999999</c:v>
                </c:pt>
                <c:pt idx="8">
                  <c:v>19.599999999999998</c:v>
                </c:pt>
                <c:pt idx="9">
                  <c:v>21.799999999999997</c:v>
                </c:pt>
                <c:pt idx="10">
                  <c:v>23.999999999999996</c:v>
                </c:pt>
              </c:numCache>
            </c:numRef>
          </c:yVal>
          <c:smooth val="1"/>
        </c:ser>
        <c:axId val="105010304"/>
        <c:axId val="105011840"/>
      </c:scatterChart>
      <c:valAx>
        <c:axId val="105010304"/>
        <c:scaling>
          <c:orientation val="minMax"/>
        </c:scaling>
        <c:axPos val="b"/>
        <c:numFmt formatCode="General" sourceLinked="1"/>
        <c:tickLblPos val="nextTo"/>
        <c:crossAx val="105011840"/>
        <c:crosses val="autoZero"/>
        <c:crossBetween val="midCat"/>
      </c:valAx>
      <c:valAx>
        <c:axId val="105011840"/>
        <c:scaling>
          <c:orientation val="minMax"/>
        </c:scaling>
        <c:axPos val="l"/>
        <c:numFmt formatCode="General" sourceLinked="1"/>
        <c:tickLblPos val="nextTo"/>
        <c:crossAx val="105010304"/>
        <c:crosses val="autoZero"/>
        <c:crossBetween val="midCat"/>
      </c:valAx>
    </c:plotArea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TeG!$F$13</c:f>
              <c:strCache>
                <c:ptCount val="1"/>
                <c:pt idx="0">
                  <c:v> y= f(x) = -3x + 125</c:v>
                </c:pt>
              </c:strCache>
            </c:strRef>
          </c:tx>
          <c:xVal>
            <c:numRef>
              <c:f>TeG!$E$14:$E$22</c:f>
              <c:numCache>
                <c:formatCode>0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</c:numCache>
            </c:numRef>
          </c:xVal>
          <c:yVal>
            <c:numRef>
              <c:f>TeG!$F$14:$F$22</c:f>
              <c:numCache>
                <c:formatCode>General</c:formatCode>
                <c:ptCount val="9"/>
                <c:pt idx="0">
                  <c:v>122</c:v>
                </c:pt>
                <c:pt idx="1">
                  <c:v>116</c:v>
                </c:pt>
                <c:pt idx="2">
                  <c:v>110</c:v>
                </c:pt>
                <c:pt idx="3">
                  <c:v>104</c:v>
                </c:pt>
                <c:pt idx="4">
                  <c:v>98</c:v>
                </c:pt>
                <c:pt idx="5">
                  <c:v>92</c:v>
                </c:pt>
                <c:pt idx="6">
                  <c:v>86</c:v>
                </c:pt>
                <c:pt idx="7">
                  <c:v>80</c:v>
                </c:pt>
                <c:pt idx="8">
                  <c:v>74</c:v>
                </c:pt>
              </c:numCache>
            </c:numRef>
          </c:yVal>
          <c:smooth val="1"/>
        </c:ser>
        <c:axId val="55155712"/>
        <c:axId val="55154176"/>
      </c:scatterChart>
      <c:valAx>
        <c:axId val="55155712"/>
        <c:scaling>
          <c:orientation val="minMax"/>
        </c:scaling>
        <c:axPos val="b"/>
        <c:numFmt formatCode="0" sourceLinked="1"/>
        <c:tickLblPos val="nextTo"/>
        <c:crossAx val="55154176"/>
        <c:crosses val="autoZero"/>
        <c:crossBetween val="midCat"/>
      </c:valAx>
      <c:valAx>
        <c:axId val="55154176"/>
        <c:scaling>
          <c:orientation val="minMax"/>
        </c:scaling>
        <c:axPos val="l"/>
        <c:majorGridlines/>
        <c:numFmt formatCode="General" sourceLinked="1"/>
        <c:tickLblPos val="nextTo"/>
        <c:crossAx val="5515571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257390378650223"/>
          <c:y val="4.1594025880432831E-2"/>
          <c:w val="0.7708667535439192"/>
          <c:h val="0.73466733809436613"/>
        </c:manualLayout>
      </c:layout>
      <c:scatterChart>
        <c:scatterStyle val="lineMarker"/>
        <c:ser>
          <c:idx val="0"/>
          <c:order val="0"/>
          <c:tx>
            <c:strRef>
              <c:f>'Equação da função reta01'!$AA$4</c:f>
              <c:strCache>
                <c:ptCount val="1"/>
                <c:pt idx="0">
                  <c:v>y</c:v>
                </c:pt>
              </c:strCache>
            </c:strRef>
          </c:tx>
          <c:marker>
            <c:symbol val="circle"/>
            <c:size val="7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dPt>
            <c:idx val="1"/>
            <c:marker>
              <c:spPr>
                <a:solidFill>
                  <a:schemeClr val="tx1"/>
                </a:solidFill>
                <a:ln w="12700" cap="rnd">
                  <a:solidFill>
                    <a:schemeClr val="tx1"/>
                  </a:solidFill>
                </a:ln>
              </c:spPr>
            </c:marker>
          </c:dPt>
          <c:trendline>
            <c:trendlineType val="linear"/>
          </c:trendline>
          <c:xVal>
            <c:numRef>
              <c:f>'Equação da função reta01'!$Z$5:$Z$8</c:f>
              <c:numCache>
                <c:formatCode>General</c:formatCode>
                <c:ptCount val="4"/>
                <c:pt idx="0">
                  <c:v>0</c:v>
                </c:pt>
                <c:pt idx="3">
                  <c:v>16</c:v>
                </c:pt>
              </c:numCache>
            </c:numRef>
          </c:xVal>
          <c:yVal>
            <c:numRef>
              <c:f>'Equação da função reta01'!$AA$5:$AA$8</c:f>
              <c:numCache>
                <c:formatCode>General</c:formatCode>
                <c:ptCount val="4"/>
                <c:pt idx="0">
                  <c:v>8</c:v>
                </c:pt>
                <c:pt idx="3">
                  <c:v>0</c:v>
                </c:pt>
              </c:numCache>
            </c:numRef>
          </c:yVal>
        </c:ser>
        <c:axId val="114643712"/>
        <c:axId val="114645632"/>
      </c:scatterChart>
      <c:valAx>
        <c:axId val="11464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Eixo x</a:t>
                </a:r>
              </a:p>
            </c:rich>
          </c:tx>
          <c:layout>
            <c:manualLayout>
              <c:xMode val="edge"/>
              <c:yMode val="edge"/>
              <c:x val="0.48278592099064577"/>
              <c:y val="0.935169918124744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400" b="1">
                <a:solidFill>
                  <a:srgbClr val="00B050"/>
                </a:solidFill>
              </a:defRPr>
            </a:pPr>
            <a:endParaRPr lang="pt-BR"/>
          </a:p>
        </c:txPr>
        <c:crossAx val="114645632"/>
        <c:crosses val="autoZero"/>
        <c:crossBetween val="midCat"/>
        <c:majorUnit val="4"/>
      </c:valAx>
      <c:valAx>
        <c:axId val="11464563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400" b="1">
                <a:solidFill>
                  <a:srgbClr val="FF0000"/>
                </a:solidFill>
              </a:defRPr>
            </a:pPr>
            <a:endParaRPr lang="pt-BR"/>
          </a:p>
        </c:txPr>
        <c:crossAx val="114643712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y = 2x +1</a:t>
            </a:r>
          </a:p>
        </c:rich>
      </c:tx>
      <c:layout>
        <c:manualLayout>
          <c:xMode val="edge"/>
          <c:yMode val="edge"/>
          <c:x val="0.36357940971664343"/>
          <c:y val="0"/>
        </c:manualLayout>
      </c:layout>
    </c:title>
    <c:plotArea>
      <c:layout>
        <c:manualLayout>
          <c:layoutTarget val="inner"/>
          <c:xMode val="edge"/>
          <c:yMode val="edge"/>
          <c:x val="6.1843076067104485E-2"/>
          <c:y val="0.14473329295376541"/>
          <c:w val="0.87106982594917692"/>
          <c:h val="0.72887501131324273"/>
        </c:manualLayout>
      </c:layout>
      <c:scatterChart>
        <c:scatterStyle val="lineMarker"/>
        <c:ser>
          <c:idx val="0"/>
          <c:order val="0"/>
          <c:tx>
            <c:strRef>
              <c:f>'Equação da Reta1'!$D$17</c:f>
              <c:strCache>
                <c:ptCount val="1"/>
                <c:pt idx="0">
                  <c:v>y=2x  + 1</c:v>
                </c:pt>
              </c:strCache>
            </c:strRef>
          </c:tx>
          <c:xVal>
            <c:numRef>
              <c:f>'Equação da Reta1'!$C$18:$C$21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'Equação da Reta1'!$F$18:$F$21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</c:numCache>
            </c:numRef>
          </c:yVal>
        </c:ser>
        <c:axId val="114735744"/>
        <c:axId val="114749824"/>
      </c:scatterChart>
      <c:valAx>
        <c:axId val="114735744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4749824"/>
        <c:crosses val="autoZero"/>
        <c:crossBetween val="midCat"/>
        <c:majorUnit val="1"/>
      </c:valAx>
      <c:valAx>
        <c:axId val="114749824"/>
        <c:scaling>
          <c:orientation val="minMax"/>
        </c:scaling>
        <c:axPos val="l"/>
        <c:majorGridlines/>
        <c:numFmt formatCode="General" sourceLinked="1"/>
        <c:tickLblPos val="nextTo"/>
        <c:crossAx val="114735744"/>
        <c:crosses val="autoZero"/>
        <c:crossBetween val="midCat"/>
        <c:majorUnit val="5"/>
      </c:valAx>
    </c:plotArea>
    <c:plotVisOnly val="1"/>
    <c:dispBlanksAs val="gap"/>
  </c:chart>
  <c:txPr>
    <a:bodyPr/>
    <a:lstStyle/>
    <a:p>
      <a:pPr>
        <a:defRPr>
          <a:solidFill>
            <a:srgbClr val="FF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800"/>
              <a:t>y = 5x - 11</a:t>
            </a:r>
          </a:p>
        </c:rich>
      </c:tx>
      <c:layout>
        <c:manualLayout>
          <c:xMode val="edge"/>
          <c:yMode val="edge"/>
          <c:x val="0.32223934170390861"/>
          <c:y val="4.77019319953429E-3"/>
        </c:manualLayout>
      </c:layout>
    </c:title>
    <c:plotArea>
      <c:layout>
        <c:manualLayout>
          <c:layoutTarget val="inner"/>
          <c:xMode val="edge"/>
          <c:yMode val="edge"/>
          <c:x val="0.20883478754344925"/>
          <c:y val="0.14904821107887856"/>
          <c:w val="0.69361594665531789"/>
          <c:h val="0.58927239358238059"/>
        </c:manualLayout>
      </c:layout>
      <c:scatterChart>
        <c:scatterStyle val="lineMarker"/>
        <c:ser>
          <c:idx val="0"/>
          <c:order val="0"/>
          <c:tx>
            <c:strRef>
              <c:f>EquaçãoReta2!$O$16</c:f>
              <c:strCache>
                <c:ptCount val="1"/>
                <c:pt idx="0">
                  <c:v>y = 2x +1</c:v>
                </c:pt>
              </c:strCache>
            </c:strRef>
          </c:tx>
          <c:xVal>
            <c:numRef>
              <c:f>EquaçãoReta2!$M$17:$M$20</c:f>
              <c:numCache>
                <c:formatCode>General</c:formatCode>
                <c:ptCount val="4"/>
                <c:pt idx="0">
                  <c:v>-2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EquaçãoReta2!$O$17:$O$20</c:f>
              <c:numCache>
                <c:formatCode>General</c:formatCode>
                <c:ptCount val="4"/>
                <c:pt idx="0">
                  <c:v>-3</c:v>
                </c:pt>
                <c:pt idx="1">
                  <c:v>3</c:v>
                </c:pt>
                <c:pt idx="2">
                  <c:v>9</c:v>
                </c:pt>
                <c:pt idx="3">
                  <c:v>15</c:v>
                </c:pt>
              </c:numCache>
            </c:numRef>
          </c:yVal>
        </c:ser>
        <c:axId val="114815360"/>
        <c:axId val="114816896"/>
      </c:scatterChart>
      <c:valAx>
        <c:axId val="114815360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4816896"/>
        <c:crosses val="autoZero"/>
        <c:crossBetween val="midCat"/>
        <c:majorUnit val="1"/>
      </c:valAx>
      <c:valAx>
        <c:axId val="114816896"/>
        <c:scaling>
          <c:orientation val="minMax"/>
        </c:scaling>
        <c:axPos val="l"/>
        <c:majorGridlines/>
        <c:numFmt formatCode="General" sourceLinked="1"/>
        <c:tickLblPos val="nextTo"/>
        <c:crossAx val="1148153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'Função de 1º Grau2'!$C$4</c:f>
              <c:strCache>
                <c:ptCount val="1"/>
                <c:pt idx="0">
                  <c:v>y (Custo total/dia)</c:v>
                </c:pt>
              </c:strCache>
            </c:strRef>
          </c:tx>
          <c:xVal>
            <c:numRef>
              <c:f>'Função de 1º Grau2'!$B$5:$B$6</c:f>
              <c:numCache>
                <c:formatCode>General</c:formatCode>
                <c:ptCount val="2"/>
                <c:pt idx="0">
                  <c:v>50</c:v>
                </c:pt>
                <c:pt idx="1">
                  <c:v>100</c:v>
                </c:pt>
              </c:numCache>
            </c:numRef>
          </c:xVal>
          <c:yVal>
            <c:numRef>
              <c:f>'Função de 1º Grau2'!$C$5:$C$6</c:f>
              <c:numCache>
                <c:formatCode>General</c:formatCode>
                <c:ptCount val="2"/>
                <c:pt idx="0">
                  <c:v>1050</c:v>
                </c:pt>
                <c:pt idx="1">
                  <c:v>1425</c:v>
                </c:pt>
              </c:numCache>
            </c:numRef>
          </c:yVal>
        </c:ser>
        <c:axId val="116966144"/>
        <c:axId val="116967680"/>
      </c:scatterChart>
      <c:valAx>
        <c:axId val="116966144"/>
        <c:scaling>
          <c:orientation val="minMax"/>
        </c:scaling>
        <c:axPos val="b"/>
        <c:numFmt formatCode="General" sourceLinked="1"/>
        <c:tickLblPos val="nextTo"/>
        <c:crossAx val="116967680"/>
        <c:crosses val="autoZero"/>
        <c:crossBetween val="midCat"/>
      </c:valAx>
      <c:valAx>
        <c:axId val="116967680"/>
        <c:scaling>
          <c:orientation val="minMax"/>
        </c:scaling>
        <c:axPos val="l"/>
        <c:majorGridlines/>
        <c:numFmt formatCode="General" sourceLinked="1"/>
        <c:tickLblPos val="nextTo"/>
        <c:crossAx val="116966144"/>
        <c:crosses val="autoZero"/>
        <c:crossBetween val="midCat"/>
      </c:valAx>
    </c:plotArea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scatterChart>
        <c:scatterStyle val="smoothMarker"/>
        <c:ser>
          <c:idx val="0"/>
          <c:order val="0"/>
          <c:tx>
            <c:strRef>
              <c:f>'Função quadrática'!$E$6</c:f>
              <c:strCache>
                <c:ptCount val="1"/>
                <c:pt idx="0">
                  <c:v> y =6,7x² + 4,6x - 4,6</c:v>
                </c:pt>
              </c:strCache>
            </c:strRef>
          </c:tx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'Função quadrática'!$C$7:$C$21</c:f>
              <c:numCache>
                <c:formatCode>General</c:formatCode>
                <c:ptCount val="15"/>
                <c:pt idx="0">
                  <c:v>-7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-2</c:v>
                </c:pt>
                <c:pt idx="6">
                  <c:v>-1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xVal>
          <c:yVal>
            <c:numRef>
              <c:f>'Função quadrática'!$E$7:$E$21</c:f>
              <c:numCache>
                <c:formatCode>General</c:formatCode>
                <c:ptCount val="15"/>
                <c:pt idx="0">
                  <c:v>291.5</c:v>
                </c:pt>
                <c:pt idx="1">
                  <c:v>209.00000000000003</c:v>
                </c:pt>
                <c:pt idx="2">
                  <c:v>139.9</c:v>
                </c:pt>
                <c:pt idx="3">
                  <c:v>84.200000000000017</c:v>
                </c:pt>
                <c:pt idx="4">
                  <c:v>41.900000000000006</c:v>
                </c:pt>
                <c:pt idx="5">
                  <c:v>13.000000000000002</c:v>
                </c:pt>
                <c:pt idx="6">
                  <c:v>-2.4999999999999991</c:v>
                </c:pt>
                <c:pt idx="7">
                  <c:v>-4.5999999999999996</c:v>
                </c:pt>
                <c:pt idx="8">
                  <c:v>6.7000000000000011</c:v>
                </c:pt>
                <c:pt idx="9">
                  <c:v>31.4</c:v>
                </c:pt>
                <c:pt idx="10">
                  <c:v>69.500000000000014</c:v>
                </c:pt>
                <c:pt idx="11">
                  <c:v>121</c:v>
                </c:pt>
                <c:pt idx="12">
                  <c:v>185.9</c:v>
                </c:pt>
                <c:pt idx="13">
                  <c:v>264.2</c:v>
                </c:pt>
                <c:pt idx="14">
                  <c:v>355.9</c:v>
                </c:pt>
              </c:numCache>
            </c:numRef>
          </c:yVal>
          <c:smooth val="1"/>
        </c:ser>
        <c:axId val="114395392"/>
        <c:axId val="114418048"/>
      </c:scatterChart>
      <c:valAx>
        <c:axId val="114395392"/>
        <c:scaling>
          <c:orientation val="minMax"/>
        </c:scaling>
        <c:axPos val="b"/>
        <c:numFmt formatCode="General" sourceLinked="1"/>
        <c:tickLblPos val="nextTo"/>
        <c:crossAx val="114418048"/>
        <c:crosses val="autoZero"/>
        <c:crossBetween val="midCat"/>
        <c:majorUnit val="1"/>
      </c:valAx>
      <c:valAx>
        <c:axId val="114418048"/>
        <c:scaling>
          <c:orientation val="minMax"/>
        </c:scaling>
        <c:axPos val="l"/>
        <c:numFmt formatCode="General" sourceLinked="1"/>
        <c:tickLblPos val="nextTo"/>
        <c:crossAx val="114395392"/>
        <c:crosses val="autoZero"/>
        <c:crossBetween val="midCat"/>
      </c:valAx>
    </c:plotArea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>
        <c:manualLayout>
          <c:xMode val="edge"/>
          <c:yMode val="edge"/>
          <c:x val="0.34406137859749059"/>
          <c:y val="4.1666666666666664E-2"/>
        </c:manualLayout>
      </c:layout>
      <c:txPr>
        <a:bodyPr/>
        <a:lstStyle/>
        <a:p>
          <a:pPr>
            <a:defRPr sz="1300">
              <a:solidFill>
                <a:schemeClr val="tx2"/>
              </a:solidFill>
            </a:defRPr>
          </a:pPr>
          <a:endParaRPr lang="pt-BR"/>
        </a:p>
      </c:txPr>
    </c:title>
    <c:plotArea>
      <c:layout>
        <c:manualLayout>
          <c:layoutTarget val="inner"/>
          <c:xMode val="edge"/>
          <c:yMode val="edge"/>
          <c:x val="0.13937099574328193"/>
          <c:y val="0.15221055701370664"/>
          <c:w val="0.83121359870264322"/>
          <c:h val="0.59264289880431609"/>
        </c:manualLayout>
      </c:layout>
      <c:scatterChart>
        <c:scatterStyle val="lineMarker"/>
        <c:ser>
          <c:idx val="0"/>
          <c:order val="0"/>
          <c:tx>
            <c:strRef>
              <c:f>'Tabela e Gráfico'!$F$13</c:f>
              <c:strCache>
                <c:ptCount val="1"/>
                <c:pt idx="0">
                  <c:v> y= 2x + 6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circle"/>
            <c:size val="3"/>
          </c:marker>
          <c:xVal>
            <c:strRef>
              <c:f>'Tabela e Gráfico'!$E$14:$E$22</c:f>
              <c:strCache>
                <c:ptCount val="1"/>
                <c:pt idx="0">
                  <c:v>1</c:v>
                </c:pt>
              </c:strCache>
            </c:strRef>
          </c:xVal>
          <c:yVal>
            <c:numRef>
              <c:f>'Tabela e Gráfico'!$F$14:$F$22</c:f>
              <c:numCache>
                <c:formatCode>General</c:formatCode>
                <c:ptCount val="9"/>
                <c:pt idx="0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</c:ser>
        <c:axId val="107742336"/>
        <c:axId val="107744256"/>
      </c:scatterChart>
      <c:valAx>
        <c:axId val="10774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pt-BR">
                    <a:solidFill>
                      <a:srgbClr val="C00000"/>
                    </a:solidFill>
                  </a:rPr>
                  <a:t>Eixo  x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900" b="1">
                <a:solidFill>
                  <a:srgbClr val="C00000"/>
                </a:solidFill>
              </a:defRPr>
            </a:pPr>
            <a:endParaRPr lang="pt-BR"/>
          </a:p>
        </c:txPr>
        <c:crossAx val="107744256"/>
        <c:crosses val="autoZero"/>
        <c:crossBetween val="midCat"/>
      </c:valAx>
      <c:valAx>
        <c:axId val="1077442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9644"/>
                    </a:solidFill>
                  </a:defRPr>
                </a:pPr>
                <a:r>
                  <a:rPr lang="pt-BR">
                    <a:solidFill>
                      <a:srgbClr val="009644"/>
                    </a:solidFill>
                  </a:rPr>
                  <a:t>Eixo  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solidFill>
                  <a:srgbClr val="009644"/>
                </a:solidFill>
              </a:defRPr>
            </a:pPr>
            <a:endParaRPr lang="pt-BR"/>
          </a:p>
        </c:txPr>
        <c:crossAx val="107742336"/>
        <c:crosses val="autoZero"/>
        <c:crossBetween val="midCat"/>
      </c:valAx>
      <c:spPr>
        <a:noFill/>
      </c:spPr>
    </c:plotArea>
    <c:plotVisOnly val="1"/>
  </c:chart>
  <c:spPr>
    <a:noFill/>
  </c:spPr>
  <c:txPr>
    <a:bodyPr/>
    <a:lstStyle/>
    <a:p>
      <a:pPr>
        <a:defRPr>
          <a:latin typeface="Verdana" pitchFamily="34" charset="0"/>
          <a:ea typeface="Verdana" pitchFamily="34" charset="0"/>
          <a:cs typeface="Verdan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4669526150185511"/>
          <c:y val="6.2726099915476743E-2"/>
          <c:w val="0.82379872007524479"/>
          <c:h val="0.67789047555496273"/>
        </c:manualLayout>
      </c:layout>
      <c:scatterChart>
        <c:scatterStyle val="smoothMarker"/>
        <c:ser>
          <c:idx val="0"/>
          <c:order val="0"/>
          <c:tx>
            <c:strRef>
              <c:f>'Taxa de Var02'!$I$7</c:f>
              <c:strCache>
                <c:ptCount val="1"/>
                <c:pt idx="0">
                  <c:v>Cotação do dólar em  2009(y)</c:v>
                </c:pt>
              </c:strCache>
            </c:strRef>
          </c:tx>
          <c:spPr>
            <a:ln>
              <a:prstDash val="sysDot"/>
            </a:ln>
          </c:spPr>
          <c:xVal>
            <c:numRef>
              <c:f>'Taxa de Var02'!$G$9:$G$16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'Taxa de Var02'!$I$9:$I$16</c:f>
              <c:numCache>
                <c:formatCode>General</c:formatCode>
                <c:ptCount val="8"/>
                <c:pt idx="0">
                  <c:v>2.3370000000000002</c:v>
                </c:pt>
                <c:pt idx="1">
                  <c:v>2.3161999999999998</c:v>
                </c:pt>
                <c:pt idx="2">
                  <c:v>2.3784000000000001</c:v>
                </c:pt>
                <c:pt idx="3">
                  <c:v>2.3296999999999999</c:v>
                </c:pt>
                <c:pt idx="4">
                  <c:v>2.1783000000000001</c:v>
                </c:pt>
                <c:pt idx="5">
                  <c:v>1.9730000000000001</c:v>
                </c:pt>
                <c:pt idx="6">
                  <c:v>1.9341999999999999</c:v>
                </c:pt>
                <c:pt idx="7">
                  <c:v>1.8726</c:v>
                </c:pt>
              </c:numCache>
            </c:numRef>
          </c:yVal>
          <c:smooth val="1"/>
        </c:ser>
        <c:axId val="108719104"/>
        <c:axId val="108504192"/>
      </c:scatterChart>
      <c:valAx>
        <c:axId val="108719104"/>
        <c:scaling>
          <c:orientation val="minMax"/>
          <c:max val="7"/>
          <c:min val="0"/>
        </c:scaling>
        <c:axPos val="b"/>
        <c:title>
          <c:tx>
            <c:rich>
              <a:bodyPr/>
              <a:lstStyle/>
              <a:p>
                <a:pPr algn="ctr" rtl="0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x: tempo decorrido em meses</a:t>
                </a:r>
              </a:p>
            </c:rich>
          </c:tx>
          <c:layout>
            <c:manualLayout>
              <c:xMode val="edge"/>
              <c:yMode val="edge"/>
              <c:x val="0.31112354485101135"/>
              <c:y val="0.83937845961940483"/>
            </c:manualLayout>
          </c:layout>
        </c:title>
        <c:numFmt formatCode="General" sourceLinked="1"/>
        <c:tickLblPos val="nextTo"/>
        <c:crossAx val="108504192"/>
        <c:crosses val="autoZero"/>
        <c:crossBetween val="midCat"/>
        <c:majorUnit val="1"/>
      </c:valAx>
      <c:valAx>
        <c:axId val="108504192"/>
        <c:scaling>
          <c:orientation val="minMax"/>
          <c:max val="2.4"/>
          <c:min val="1.8"/>
        </c:scaling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pt-BR" sz="1100" b="1" i="0" baseline="0"/>
                  <a:t>y:  valor do dólar</a:t>
                </a:r>
                <a:endParaRPr lang="pt-BR" sz="1100"/>
              </a:p>
            </c:rich>
          </c:tx>
          <c:layout/>
        </c:title>
        <c:numFmt formatCode="General" sourceLinked="1"/>
        <c:tickLblPos val="nextTo"/>
        <c:crossAx val="108719104"/>
        <c:crosses val="autoZero"/>
        <c:crossBetween val="midCat"/>
        <c:majorUnit val="0.1"/>
      </c:valAx>
      <c:spPr>
        <a:noFill/>
      </c:spPr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6125619186659485E-2"/>
          <c:y val="6.0223669520455256E-2"/>
          <c:w val="0.85026147808066854"/>
          <c:h val="0.7405203691959289"/>
        </c:manualLayout>
      </c:layout>
      <c:scatterChart>
        <c:scatterStyle val="smoothMarker"/>
        <c:ser>
          <c:idx val="0"/>
          <c:order val="0"/>
          <c:tx>
            <c:strRef>
              <c:f>'Taxa de Var02'!$T$34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9644"/>
              </a:solidFill>
            </a:ln>
          </c:spPr>
          <c:marker>
            <c:symbol val="circle"/>
            <c:size val="6"/>
            <c:spPr>
              <a:solidFill>
                <a:srgbClr val="4F81BD"/>
              </a:solidFill>
              <a:ln w="25400">
                <a:solidFill>
                  <a:srgbClr val="FF0000"/>
                </a:solidFill>
              </a:ln>
            </c:spPr>
          </c:marker>
          <c:trendline>
            <c:trendlineType val="linear"/>
            <c:dispEq val="1"/>
            <c:trendlineLbl>
              <c:layout>
                <c:manualLayout>
                  <c:x val="-0.38051105680755432"/>
                  <c:y val="-9.3916920106456706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rgbClr val="009644"/>
                        </a:solidFill>
                      </a:defRPr>
                    </a:pPr>
                    <a:r>
                      <a:rPr lang="en-US" baseline="0"/>
                      <a:t>Função da forma y=ax+b</a:t>
                    </a:r>
                  </a:p>
                  <a:p>
                    <a:pPr>
                      <a:defRPr sz="1200" b="1">
                        <a:solidFill>
                          <a:srgbClr val="009644"/>
                        </a:solidFill>
                      </a:defRPr>
                    </a:pPr>
                    <a:r>
                      <a:rPr lang="en-US" baseline="0"/>
                      <a:t>y = </a:t>
                    </a:r>
                    <a:r>
                      <a:rPr lang="en-US" sz="1600" baseline="0"/>
                      <a:t>-</a:t>
                    </a:r>
                    <a:r>
                      <a:rPr lang="en-US" baseline="0"/>
                      <a:t>0,066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x</a:t>
                    </a:r>
                    <a:r>
                      <a:rPr lang="en-US" baseline="0"/>
                      <a:t> + 2,337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'Taxa de Var02'!$S$35:$S$36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'Taxa de Var02'!$T$35:$T$36</c:f>
              <c:numCache>
                <c:formatCode>General</c:formatCode>
                <c:ptCount val="2"/>
                <c:pt idx="0">
                  <c:v>2.3370000000000002</c:v>
                </c:pt>
                <c:pt idx="1">
                  <c:v>1.8726</c:v>
                </c:pt>
              </c:numCache>
            </c:numRef>
          </c:yVal>
          <c:smooth val="1"/>
        </c:ser>
        <c:axId val="108835968"/>
        <c:axId val="108837504"/>
      </c:scatterChart>
      <c:valAx>
        <c:axId val="108835968"/>
        <c:scaling>
          <c:orientation val="minMax"/>
          <c:max val="7"/>
          <c:min val="0"/>
        </c:scaling>
        <c:delete val="1"/>
        <c:axPos val="b"/>
        <c:numFmt formatCode="General" sourceLinked="1"/>
        <c:tickLblPos val="nextTo"/>
        <c:crossAx val="108837504"/>
        <c:crosses val="autoZero"/>
        <c:crossBetween val="midCat"/>
        <c:majorUnit val="1"/>
      </c:valAx>
      <c:valAx>
        <c:axId val="108837504"/>
        <c:scaling>
          <c:orientation val="minMax"/>
          <c:max val="2.5"/>
          <c:min val="1.8"/>
        </c:scaling>
        <c:delete val="1"/>
        <c:axPos val="l"/>
        <c:numFmt formatCode="General" sourceLinked="1"/>
        <c:tickLblPos val="nextTo"/>
        <c:crossAx val="108835968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4669526150185516"/>
          <c:y val="6.2726099915476799E-2"/>
          <c:w val="0.82379872007524479"/>
          <c:h val="0.67789047555496296"/>
        </c:manualLayout>
      </c:layout>
      <c:scatterChart>
        <c:scatterStyle val="smoothMarker"/>
        <c:ser>
          <c:idx val="0"/>
          <c:order val="0"/>
          <c:tx>
            <c:strRef>
              <c:f>'Taxa de Var02'!$I$7</c:f>
              <c:strCache>
                <c:ptCount val="1"/>
                <c:pt idx="0">
                  <c:v>Cotação do dólar em  2009(y)</c:v>
                </c:pt>
              </c:strCache>
            </c:strRef>
          </c:tx>
          <c:spPr>
            <a:ln>
              <a:prstDash val="sysDot"/>
            </a:ln>
          </c:spPr>
          <c:xVal>
            <c:numRef>
              <c:f>'Taxa de Var02'!$G$9:$G$16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'Taxa de Var02'!$I$9:$I$16</c:f>
              <c:numCache>
                <c:formatCode>General</c:formatCode>
                <c:ptCount val="8"/>
                <c:pt idx="0">
                  <c:v>2.3370000000000002</c:v>
                </c:pt>
                <c:pt idx="1">
                  <c:v>2.3161999999999998</c:v>
                </c:pt>
                <c:pt idx="2">
                  <c:v>2.3784000000000001</c:v>
                </c:pt>
                <c:pt idx="3">
                  <c:v>2.3296999999999999</c:v>
                </c:pt>
                <c:pt idx="4">
                  <c:v>2.1783000000000001</c:v>
                </c:pt>
                <c:pt idx="5">
                  <c:v>1.9730000000000001</c:v>
                </c:pt>
                <c:pt idx="6">
                  <c:v>1.9341999999999999</c:v>
                </c:pt>
                <c:pt idx="7">
                  <c:v>1.8726</c:v>
                </c:pt>
              </c:numCache>
            </c:numRef>
          </c:yVal>
          <c:smooth val="1"/>
        </c:ser>
        <c:axId val="108853888"/>
        <c:axId val="108892928"/>
      </c:scatterChart>
      <c:valAx>
        <c:axId val="108853888"/>
        <c:scaling>
          <c:orientation val="minMax"/>
          <c:max val="7"/>
          <c:min val="0"/>
        </c:scaling>
        <c:axPos val="b"/>
        <c:title>
          <c:tx>
            <c:rich>
              <a:bodyPr/>
              <a:lstStyle/>
              <a:p>
                <a:pPr algn="ctr" rtl="0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x: tempo decorrido em meses</a:t>
                </a:r>
              </a:p>
            </c:rich>
          </c:tx>
          <c:layout>
            <c:manualLayout>
              <c:xMode val="edge"/>
              <c:yMode val="edge"/>
              <c:x val="0.31112354485101135"/>
              <c:y val="0.83937845961940505"/>
            </c:manualLayout>
          </c:layout>
        </c:title>
        <c:numFmt formatCode="General" sourceLinked="1"/>
        <c:tickLblPos val="nextTo"/>
        <c:crossAx val="108892928"/>
        <c:crosses val="autoZero"/>
        <c:crossBetween val="midCat"/>
        <c:majorUnit val="1"/>
      </c:valAx>
      <c:valAx>
        <c:axId val="108892928"/>
        <c:scaling>
          <c:orientation val="minMax"/>
          <c:max val="2.4"/>
          <c:min val="1.8"/>
        </c:scaling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pt-BR" sz="1100" b="1" i="0" baseline="0"/>
                  <a:t>y:  valor do dólar</a:t>
                </a:r>
                <a:endParaRPr lang="pt-BR" sz="1100"/>
              </a:p>
            </c:rich>
          </c:tx>
          <c:layout/>
        </c:title>
        <c:numFmt formatCode="General" sourceLinked="1"/>
        <c:tickLblPos val="nextTo"/>
        <c:crossAx val="108853888"/>
        <c:crosses val="autoZero"/>
        <c:crossBetween val="midCat"/>
        <c:majorUnit val="0.1"/>
      </c:valAx>
      <c:spPr>
        <a:noFill/>
      </c:spPr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6125619186659485E-2"/>
          <c:y val="6.0223669520455263E-2"/>
          <c:w val="0.85026147808066854"/>
          <c:h val="0.74052036919592867"/>
        </c:manualLayout>
      </c:layout>
      <c:scatterChart>
        <c:scatterStyle val="smoothMarker"/>
        <c:ser>
          <c:idx val="0"/>
          <c:order val="0"/>
          <c:tx>
            <c:strRef>
              <c:f>'Taxa de Var02'!$T$34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009644"/>
              </a:solidFill>
            </a:ln>
          </c:spPr>
          <c:marker>
            <c:symbol val="circle"/>
            <c:size val="6"/>
            <c:spPr>
              <a:solidFill>
                <a:srgbClr val="4F81BD"/>
              </a:solidFill>
              <a:ln w="25400">
                <a:solidFill>
                  <a:srgbClr val="FF0000"/>
                </a:solidFill>
              </a:ln>
            </c:spPr>
          </c:marker>
          <c:trendline>
            <c:trendlineType val="linear"/>
            <c:dispEq val="1"/>
            <c:trendlineLbl>
              <c:layout>
                <c:manualLayout>
                  <c:x val="-0.38051105680755432"/>
                  <c:y val="-9.3916920106456761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rgbClr val="009644"/>
                        </a:solidFill>
                      </a:defRPr>
                    </a:pPr>
                    <a:r>
                      <a:rPr lang="en-US" baseline="0"/>
                      <a:t>Função da forma y=ax+b</a:t>
                    </a:r>
                  </a:p>
                  <a:p>
                    <a:pPr>
                      <a:defRPr sz="1200" b="1">
                        <a:solidFill>
                          <a:srgbClr val="009644"/>
                        </a:solidFill>
                      </a:defRPr>
                    </a:pPr>
                    <a:r>
                      <a:rPr lang="en-US" baseline="0"/>
                      <a:t>y = </a:t>
                    </a:r>
                    <a:r>
                      <a:rPr lang="en-US" sz="1600" baseline="0"/>
                      <a:t>-</a:t>
                    </a:r>
                    <a:r>
                      <a:rPr lang="en-US" baseline="0"/>
                      <a:t>0,066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x</a:t>
                    </a:r>
                    <a:r>
                      <a:rPr lang="en-US" baseline="0"/>
                      <a:t> + 2,337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'Taxa de Var02'!$S$35:$S$36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'Taxa de Var02'!$T$35:$T$36</c:f>
              <c:numCache>
                <c:formatCode>General</c:formatCode>
                <c:ptCount val="2"/>
                <c:pt idx="0">
                  <c:v>2.3370000000000002</c:v>
                </c:pt>
                <c:pt idx="1">
                  <c:v>1.8726</c:v>
                </c:pt>
              </c:numCache>
            </c:numRef>
          </c:yVal>
          <c:smooth val="1"/>
        </c:ser>
        <c:axId val="114311936"/>
        <c:axId val="114313472"/>
      </c:scatterChart>
      <c:valAx>
        <c:axId val="114311936"/>
        <c:scaling>
          <c:orientation val="minMax"/>
          <c:max val="7"/>
          <c:min val="0"/>
        </c:scaling>
        <c:delete val="1"/>
        <c:axPos val="b"/>
        <c:numFmt formatCode="General" sourceLinked="1"/>
        <c:tickLblPos val="nextTo"/>
        <c:crossAx val="114313472"/>
        <c:crosses val="autoZero"/>
        <c:crossBetween val="midCat"/>
        <c:majorUnit val="1"/>
      </c:valAx>
      <c:valAx>
        <c:axId val="114313472"/>
        <c:scaling>
          <c:orientation val="minMax"/>
          <c:max val="2.5"/>
          <c:min val="1.8"/>
        </c:scaling>
        <c:delete val="1"/>
        <c:axPos val="l"/>
        <c:numFmt formatCode="General" sourceLinked="1"/>
        <c:tickLblPos val="nextTo"/>
        <c:crossAx val="114311936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>
                <a:solidFill>
                  <a:srgbClr val="009644"/>
                </a:solidFill>
              </a:defRPr>
            </a:pPr>
            <a:r>
              <a:rPr lang="en-US" sz="1200">
                <a:solidFill>
                  <a:srgbClr val="009644"/>
                </a:solidFill>
              </a:rPr>
              <a:t>Gráfico da cotação  do dólar em  2019,</a:t>
            </a:r>
            <a:r>
              <a:rPr lang="en-US" sz="1200" baseline="0">
                <a:solidFill>
                  <a:srgbClr val="009644"/>
                </a:solidFill>
              </a:rPr>
              <a:t> em função do tempo </a:t>
            </a:r>
          </a:p>
        </c:rich>
      </c:tx>
      <c:layout>
        <c:manualLayout>
          <c:xMode val="edge"/>
          <c:yMode val="edge"/>
          <c:x val="0.22207715194736222"/>
          <c:y val="4.1666666666666664E-2"/>
        </c:manualLayout>
      </c:layout>
    </c:title>
    <c:plotArea>
      <c:layout>
        <c:manualLayout>
          <c:layoutTarget val="inner"/>
          <c:xMode val="edge"/>
          <c:yMode val="edge"/>
          <c:x val="0.18471695988496495"/>
          <c:y val="0.20666847678522945"/>
          <c:w val="0.68072589936158989"/>
          <c:h val="0.60346391483673223"/>
        </c:manualLayout>
      </c:layout>
      <c:scatterChart>
        <c:scatterStyle val="lineMarker"/>
        <c:ser>
          <c:idx val="0"/>
          <c:order val="0"/>
          <c:tx>
            <c:strRef>
              <c:f>'Taxa de Var1'!$H$7</c:f>
              <c:strCache>
                <c:ptCount val="1"/>
                <c:pt idx="0">
                  <c:v>Cotação do dólar em  2019            (y)</c:v>
                </c:pt>
              </c:strCache>
            </c:strRef>
          </c:tx>
          <c:spPr>
            <a:ln w="12700">
              <a:solidFill>
                <a:srgbClr val="009644"/>
              </a:solidFill>
            </a:ln>
          </c:spPr>
          <c:marker>
            <c:symbol val="circle"/>
            <c:size val="5"/>
          </c:marker>
          <c:xVal>
            <c:numRef>
              <c:f>'Taxa de Var1'!$G$8:$G$15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'Taxa de Var1'!$H$8:$H$15</c:f>
              <c:numCache>
                <c:formatCode>General</c:formatCode>
                <c:ptCount val="8"/>
                <c:pt idx="0">
                  <c:v>3.6518999999999999</c:v>
                </c:pt>
                <c:pt idx="1">
                  <c:v>3.7284999999999999</c:v>
                </c:pt>
                <c:pt idx="2">
                  <c:v>3.7284999999999999</c:v>
                </c:pt>
                <c:pt idx="3">
                  <c:v>3.8967000000000001</c:v>
                </c:pt>
                <c:pt idx="4">
                  <c:v>3.9453</c:v>
                </c:pt>
                <c:pt idx="5">
                  <c:v>3.972</c:v>
                </c:pt>
                <c:pt idx="6">
                  <c:v>3.8193000000000001</c:v>
                </c:pt>
                <c:pt idx="7">
                  <c:v>3.7648999999999999</c:v>
                </c:pt>
              </c:numCache>
            </c:numRef>
          </c:yVal>
        </c:ser>
        <c:axId val="114288512"/>
        <c:axId val="114425856"/>
      </c:scatterChart>
      <c:valAx>
        <c:axId val="114288512"/>
        <c:scaling>
          <c:orientation val="minMax"/>
          <c:max val="7.5"/>
          <c:min val="0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r>
                  <a:rPr lang="pt-BR">
                    <a:solidFill>
                      <a:srgbClr val="FF0000"/>
                    </a:solidFill>
                  </a:rPr>
                  <a:t>Tempo decorrido em meses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solidFill>
                  <a:srgbClr val="FF0000"/>
                </a:solidFill>
              </a:defRPr>
            </a:pPr>
            <a:endParaRPr lang="pt-BR"/>
          </a:p>
        </c:txPr>
        <c:crossAx val="114425856"/>
        <c:crosses val="autoZero"/>
        <c:crossBetween val="midCat"/>
      </c:valAx>
      <c:valAx>
        <c:axId val="114425856"/>
        <c:scaling>
          <c:orientation val="minMax"/>
          <c:max val="4"/>
        </c:scaling>
        <c:axPos val="l"/>
        <c:title>
          <c:tx>
            <c:rich>
              <a:bodyPr rot="-5400000" vert="horz"/>
              <a:lstStyle/>
              <a:p>
                <a:pPr algn="ctr" rtl="0">
                  <a:defRPr lang="pt-BR" sz="1000" b="1" i="0" u="none" strike="noStrike" kern="1200" baseline="0">
                    <a:solidFill>
                      <a:srgbClr val="009644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1" i="0" u="none" strike="noStrike" kern="1200" baseline="0">
                    <a:solidFill>
                      <a:srgbClr val="009644"/>
                    </a:solidFill>
                    <a:latin typeface="+mn-lt"/>
                    <a:ea typeface="+mn-ea"/>
                    <a:cs typeface="+mn-cs"/>
                  </a:rPr>
                  <a:t>y: cotação do dólar</a:t>
                </a:r>
              </a:p>
              <a:p>
                <a:pPr algn="ctr" rtl="0">
                  <a:defRPr lang="pt-BR" sz="1000" b="1" i="0" u="none" strike="noStrike" kern="1200" baseline="0">
                    <a:solidFill>
                      <a:srgbClr val="009644"/>
                    </a:solidFill>
                    <a:latin typeface="+mn-lt"/>
                    <a:ea typeface="+mn-ea"/>
                    <a:cs typeface="+mn-cs"/>
                  </a:defRPr>
                </a:pPr>
                <a:endParaRPr lang="pt-BR" sz="1000" b="1" i="0" u="none" strike="noStrike" kern="1200" baseline="0">
                  <a:solidFill>
                    <a:srgbClr val="009644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009644"/>
                </a:solidFill>
              </a:defRPr>
            </a:pPr>
            <a:endParaRPr lang="pt-BR"/>
          </a:p>
        </c:txPr>
        <c:crossAx val="114288512"/>
        <c:crosses val="autoZero"/>
        <c:crossBetween val="midCat"/>
      </c:valAx>
      <c:spPr>
        <a:noFill/>
      </c:spPr>
    </c:plotArea>
    <c:plotVisOnly val="1"/>
  </c:chart>
  <c:spPr>
    <a:noFill/>
    <a:ln w="25400">
      <a:solidFill>
        <a:schemeClr val="tx1"/>
      </a:solidFill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Taxa</a:t>
            </a:r>
            <a:r>
              <a:rPr lang="en-US" sz="1100">
                <a:solidFill>
                  <a:schemeClr val="tx1"/>
                </a:solidFill>
              </a:rPr>
              <a:t> de </a:t>
            </a:r>
            <a:r>
              <a:rPr lang="en-US"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variação</a:t>
            </a:r>
            <a:r>
              <a:rPr lang="en-US" sz="1100">
                <a:solidFill>
                  <a:schemeClr val="tx1"/>
                </a:solidFill>
              </a:rPr>
              <a:t> do dólar de jan a ago de 2019</a:t>
            </a:r>
          </a:p>
        </c:rich>
      </c:tx>
      <c:layout>
        <c:manualLayout>
          <c:xMode val="edge"/>
          <c:yMode val="edge"/>
          <c:x val="4.6242774566473979E-2"/>
          <c:y val="2.8985507246376812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'Taxa de Var1'!$G$18</c:f>
              <c:strCache>
                <c:ptCount val="1"/>
                <c:pt idx="0">
                  <c:v>Taxa de variação do dólar</c:v>
                </c:pt>
              </c:strCache>
            </c:strRef>
          </c:tx>
          <c:xVal>
            <c:numRef>
              <c:f>'Taxa de Var1'!$F$19:$F$24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'Taxa de Var1'!$G$19:$G$24</c:f>
              <c:numCache>
                <c:formatCode>General</c:formatCode>
                <c:ptCount val="6"/>
                <c:pt idx="0">
                  <c:v>7.6600000000000001E-2</c:v>
                </c:pt>
                <c:pt idx="1">
                  <c:v>0</c:v>
                </c:pt>
                <c:pt idx="2">
                  <c:v>0.16820000000000013</c:v>
                </c:pt>
                <c:pt idx="3">
                  <c:v>4.8599999999999977E-2</c:v>
                </c:pt>
                <c:pt idx="4">
                  <c:v>2.6699999999999946E-2</c:v>
                </c:pt>
                <c:pt idx="5">
                  <c:v>-0.15269999999999984</c:v>
                </c:pt>
              </c:numCache>
            </c:numRef>
          </c:yVal>
        </c:ser>
        <c:axId val="114433408"/>
        <c:axId val="114443392"/>
      </c:scatterChart>
      <c:valAx>
        <c:axId val="114433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pt-BR"/>
          </a:p>
        </c:txPr>
        <c:crossAx val="114443392"/>
        <c:crosses val="autoZero"/>
        <c:crossBetween val="midCat"/>
      </c:valAx>
      <c:valAx>
        <c:axId val="114443392"/>
        <c:scaling>
          <c:orientation val="minMax"/>
        </c:scaling>
        <c:axPos val="l"/>
        <c:numFmt formatCode="General" sourceLinked="1"/>
        <c:tickLblPos val="nextTo"/>
        <c:crossAx val="114433408"/>
        <c:crosses val="autoZero"/>
        <c:crossBetween val="midCat"/>
      </c:valAx>
      <c:spPr>
        <a:noFill/>
        <a:ln>
          <a:noFill/>
        </a:ln>
      </c:spPr>
    </c:plotArea>
    <c:plotVisOnly val="1"/>
  </c:chart>
  <c:spPr>
    <a:noFill/>
    <a:ln w="25400"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tx>
            <c:strRef>
              <c:f>'Taxa de Var3'!$G$6</c:f>
              <c:strCache>
                <c:ptCount val="1"/>
                <c:pt idx="0">
                  <c:v>Cotação do dólar em  2009(y)</c:v>
                </c:pt>
              </c:strCache>
            </c:strRef>
          </c:tx>
          <c:xVal>
            <c:numRef>
              <c:f>'Taxa de Var3'!$F$7:$F$14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'Taxa de Var3'!$G$7:$G$14</c:f>
              <c:numCache>
                <c:formatCode>General</c:formatCode>
                <c:ptCount val="8"/>
                <c:pt idx="0">
                  <c:v>2.3370000000000002</c:v>
                </c:pt>
                <c:pt idx="1">
                  <c:v>2.3161999999999998</c:v>
                </c:pt>
                <c:pt idx="2">
                  <c:v>2.3784000000000001</c:v>
                </c:pt>
                <c:pt idx="3">
                  <c:v>2.3296999999999999</c:v>
                </c:pt>
                <c:pt idx="4">
                  <c:v>2.1783000000000001</c:v>
                </c:pt>
                <c:pt idx="5">
                  <c:v>1.9730000000000001</c:v>
                </c:pt>
                <c:pt idx="6">
                  <c:v>1.9341999999999999</c:v>
                </c:pt>
                <c:pt idx="7">
                  <c:v>1.8726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'Taxa de Var3'!$H$6</c:f>
              <c:strCache>
                <c:ptCount val="1"/>
                <c:pt idx="0">
                  <c:v>Cotação do dólar em  2019(y)</c:v>
                </c:pt>
              </c:strCache>
            </c:strRef>
          </c:tx>
          <c:xVal>
            <c:numRef>
              <c:f>'Taxa de Var3'!$F$7:$F$14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'Taxa de Var3'!$H$7:$H$14</c:f>
              <c:numCache>
                <c:formatCode>General</c:formatCode>
                <c:ptCount val="8"/>
                <c:pt idx="0">
                  <c:v>3.6518999999999999</c:v>
                </c:pt>
                <c:pt idx="1">
                  <c:v>3.7284999999999999</c:v>
                </c:pt>
                <c:pt idx="2">
                  <c:v>3.7284999999999999</c:v>
                </c:pt>
                <c:pt idx="3">
                  <c:v>3.8967000000000001</c:v>
                </c:pt>
                <c:pt idx="4">
                  <c:v>3.9453</c:v>
                </c:pt>
                <c:pt idx="5">
                  <c:v>3.972</c:v>
                </c:pt>
                <c:pt idx="6">
                  <c:v>3.8193000000000001</c:v>
                </c:pt>
                <c:pt idx="7">
                  <c:v>3.7648999999999999</c:v>
                </c:pt>
              </c:numCache>
            </c:numRef>
          </c:yVal>
          <c:smooth val="1"/>
        </c:ser>
        <c:axId val="114483584"/>
        <c:axId val="114485120"/>
      </c:scatterChart>
      <c:valAx>
        <c:axId val="114483584"/>
        <c:scaling>
          <c:orientation val="minMax"/>
        </c:scaling>
        <c:axPos val="b"/>
        <c:numFmt formatCode="General" sourceLinked="1"/>
        <c:tickLblPos val="nextTo"/>
        <c:crossAx val="114485120"/>
        <c:crosses val="autoZero"/>
        <c:crossBetween val="midCat"/>
      </c:valAx>
      <c:valAx>
        <c:axId val="114485120"/>
        <c:scaling>
          <c:orientation val="minMax"/>
          <c:max val="4"/>
          <c:min val="1.8"/>
        </c:scaling>
        <c:axPos val="l"/>
        <c:numFmt formatCode="General" sourceLinked="1"/>
        <c:tickLblPos val="nextTo"/>
        <c:crossAx val="11448358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hyperlink" Target="#'ou Equa&#231;&#227;o da Reta2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hyperlink" Target="#Autori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17</xdr:row>
      <xdr:rowOff>66675</xdr:rowOff>
    </xdr:from>
    <xdr:to>
      <xdr:col>3</xdr:col>
      <xdr:colOff>1181100</xdr:colOff>
      <xdr:row>20</xdr:row>
      <xdr:rowOff>0</xdr:rowOff>
    </xdr:to>
    <xdr:sp macro="" textlink="">
      <xdr:nvSpPr>
        <xdr:cNvPr id="2" name="Seta para baixo 1"/>
        <xdr:cNvSpPr/>
      </xdr:nvSpPr>
      <xdr:spPr>
        <a:xfrm>
          <a:off x="895350" y="3933825"/>
          <a:ext cx="742950" cy="59055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0.00027</cdr:x>
      <cdr:y>1</cdr:y>
    </cdr:to>
    <cdr:sp macro="" textlink="">
      <cdr:nvSpPr>
        <cdr:cNvPr id="4" name="Conector reto 3"/>
        <cdr:cNvSpPr/>
      </cdr:nvSpPr>
      <cdr:spPr>
        <a:xfrm xmlns:a="http://schemas.openxmlformats.org/drawingml/2006/main" rot="5400000">
          <a:off x="-1413967" y="1413967"/>
          <a:ext cx="2828924" cy="9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0.93909</cdr:x>
      <cdr:y>0.78366</cdr:y>
    </cdr:from>
    <cdr:to>
      <cdr:x>1</cdr:x>
      <cdr:y>0.85842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488471" y="2709554"/>
          <a:ext cx="226279" cy="258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t-BR" sz="1400"/>
            <a:t>x</a:t>
          </a:r>
        </a:p>
      </cdr:txBody>
    </cdr:sp>
  </cdr:relSizeAnchor>
  <cdr:relSizeAnchor xmlns:cdr="http://schemas.openxmlformats.org/drawingml/2006/chartDrawing">
    <cdr:from>
      <cdr:x>0.1052</cdr:x>
      <cdr:y>0</cdr:y>
    </cdr:from>
    <cdr:to>
      <cdr:x>0.19238</cdr:x>
      <cdr:y>0.07713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380756" y="0"/>
          <a:ext cx="315546" cy="218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pt-BR" sz="1400"/>
            <a:t>y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19</xdr:row>
      <xdr:rowOff>19050</xdr:rowOff>
    </xdr:from>
    <xdr:to>
      <xdr:col>24</xdr:col>
      <xdr:colOff>333375</xdr:colOff>
      <xdr:row>20</xdr:row>
      <xdr:rowOff>142875</xdr:rowOff>
    </xdr:to>
    <xdr:pic>
      <xdr:nvPicPr>
        <xdr:cNvPr id="11420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4352925"/>
          <a:ext cx="7334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219075</xdr:colOff>
      <xdr:row>15</xdr:row>
      <xdr:rowOff>209550</xdr:rowOff>
    </xdr:from>
    <xdr:to>
      <xdr:col>21</xdr:col>
      <xdr:colOff>171450</xdr:colOff>
      <xdr:row>20</xdr:row>
      <xdr:rowOff>180975</xdr:rowOff>
    </xdr:to>
    <xdr:graphicFrame macro="">
      <xdr:nvGraphicFramePr>
        <xdr:cNvPr id="114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28575</xdr:colOff>
      <xdr:row>19</xdr:row>
      <xdr:rowOff>0</xdr:rowOff>
    </xdr:from>
    <xdr:to>
      <xdr:col>27</xdr:col>
      <xdr:colOff>342900</xdr:colOff>
      <xdr:row>20</xdr:row>
      <xdr:rowOff>9525</xdr:rowOff>
    </xdr:to>
    <xdr:pic>
      <xdr:nvPicPr>
        <xdr:cNvPr id="147490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24825" y="4219575"/>
          <a:ext cx="923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190500</xdr:colOff>
      <xdr:row>14</xdr:row>
      <xdr:rowOff>133350</xdr:rowOff>
    </xdr:from>
    <xdr:to>
      <xdr:col>23</xdr:col>
      <xdr:colOff>66675</xdr:colOff>
      <xdr:row>20</xdr:row>
      <xdr:rowOff>142875</xdr:rowOff>
    </xdr:to>
    <xdr:graphicFrame macro="">
      <xdr:nvGraphicFramePr>
        <xdr:cNvPr id="14749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166407</xdr:colOff>
      <xdr:row>12</xdr:row>
      <xdr:rowOff>10086</xdr:rowOff>
    </xdr:from>
    <xdr:to>
      <xdr:col>3</xdr:col>
      <xdr:colOff>844363</xdr:colOff>
      <xdr:row>17</xdr:row>
      <xdr:rowOff>361390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</xdr:row>
      <xdr:rowOff>38100</xdr:rowOff>
    </xdr:from>
    <xdr:to>
      <xdr:col>11</xdr:col>
      <xdr:colOff>361950</xdr:colOff>
      <xdr:row>18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47625</xdr:rowOff>
    </xdr:from>
    <xdr:to>
      <xdr:col>17</xdr:col>
      <xdr:colOff>1400175</xdr:colOff>
      <xdr:row>6</xdr:row>
      <xdr:rowOff>523875</xdr:rowOff>
    </xdr:to>
    <xdr:sp macro="" textlink="">
      <xdr:nvSpPr>
        <xdr:cNvPr id="2" name="CaixaDeTexto 1"/>
        <xdr:cNvSpPr txBox="1"/>
      </xdr:nvSpPr>
      <xdr:spPr>
        <a:xfrm>
          <a:off x="228600" y="1085850"/>
          <a:ext cx="968692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Registre os cálculos:</a:t>
          </a:r>
        </a:p>
      </xdr:txBody>
    </xdr:sp>
    <xdr:clientData/>
  </xdr:twoCellAnchor>
  <xdr:twoCellAnchor>
    <xdr:from>
      <xdr:col>0</xdr:col>
      <xdr:colOff>171450</xdr:colOff>
      <xdr:row>9</xdr:row>
      <xdr:rowOff>19050</xdr:rowOff>
    </xdr:from>
    <xdr:to>
      <xdr:col>17</xdr:col>
      <xdr:colOff>600075</xdr:colOff>
      <xdr:row>10</xdr:row>
      <xdr:rowOff>28575</xdr:rowOff>
    </xdr:to>
    <xdr:sp macro="" textlink="">
      <xdr:nvSpPr>
        <xdr:cNvPr id="3" name="CaixaDeTexto 2"/>
        <xdr:cNvSpPr txBox="1"/>
      </xdr:nvSpPr>
      <xdr:spPr>
        <a:xfrm>
          <a:off x="171450" y="2343150"/>
          <a:ext cx="85629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523874</xdr:colOff>
      <xdr:row>1</xdr:row>
      <xdr:rowOff>95249</xdr:rowOff>
    </xdr:from>
    <xdr:to>
      <xdr:col>7</xdr:col>
      <xdr:colOff>304799</xdr:colOff>
      <xdr:row>7</xdr:row>
      <xdr:rowOff>9524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4" y="257174"/>
          <a:ext cx="1000125" cy="1000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95250</xdr:rowOff>
    </xdr:from>
    <xdr:to>
      <xdr:col>16</xdr:col>
      <xdr:colOff>581025</xdr:colOff>
      <xdr:row>25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104774</xdr:colOff>
      <xdr:row>10</xdr:row>
      <xdr:rowOff>19050</xdr:rowOff>
    </xdr:from>
    <xdr:to>
      <xdr:col>24</xdr:col>
      <xdr:colOff>609600</xdr:colOff>
      <xdr:row>24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10</xdr:row>
      <xdr:rowOff>104775</xdr:rowOff>
    </xdr:from>
    <xdr:to>
      <xdr:col>9</xdr:col>
      <xdr:colOff>428625</xdr:colOff>
      <xdr:row>10</xdr:row>
      <xdr:rowOff>114300</xdr:rowOff>
    </xdr:to>
    <xdr:cxnSp macro="">
      <xdr:nvCxnSpPr>
        <xdr:cNvPr id="6" name="Conector de seta reta 5"/>
        <xdr:cNvCxnSpPr/>
      </xdr:nvCxnSpPr>
      <xdr:spPr>
        <a:xfrm flipV="1">
          <a:off x="2552700" y="1628775"/>
          <a:ext cx="7429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10</xdr:row>
      <xdr:rowOff>104775</xdr:rowOff>
    </xdr:from>
    <xdr:to>
      <xdr:col>9</xdr:col>
      <xdr:colOff>428625</xdr:colOff>
      <xdr:row>10</xdr:row>
      <xdr:rowOff>114300</xdr:rowOff>
    </xdr:to>
    <xdr:cxnSp macro="">
      <xdr:nvCxnSpPr>
        <xdr:cNvPr id="8" name="Conector de seta reta 7"/>
        <xdr:cNvCxnSpPr/>
      </xdr:nvCxnSpPr>
      <xdr:spPr>
        <a:xfrm flipV="1">
          <a:off x="2552700" y="1628775"/>
          <a:ext cx="7429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18</xdr:row>
      <xdr:rowOff>85725</xdr:rowOff>
    </xdr:from>
    <xdr:to>
      <xdr:col>9</xdr:col>
      <xdr:colOff>295275</xdr:colOff>
      <xdr:row>18</xdr:row>
      <xdr:rowOff>95250</xdr:rowOff>
    </xdr:to>
    <xdr:cxnSp macro="">
      <xdr:nvCxnSpPr>
        <xdr:cNvPr id="9" name="Conector de seta reta 8"/>
        <xdr:cNvCxnSpPr/>
      </xdr:nvCxnSpPr>
      <xdr:spPr>
        <a:xfrm flipV="1">
          <a:off x="1943100" y="3019425"/>
          <a:ext cx="6191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38099</xdr:colOff>
      <xdr:row>9</xdr:row>
      <xdr:rowOff>66675</xdr:rowOff>
    </xdr:from>
    <xdr:to>
      <xdr:col>28</xdr:col>
      <xdr:colOff>200024</xdr:colOff>
      <xdr:row>11</xdr:row>
      <xdr:rowOff>9525</xdr:rowOff>
    </xdr:to>
    <xdr:sp macro="" textlink="">
      <xdr:nvSpPr>
        <xdr:cNvPr id="10" name="Seta para baixo 9"/>
        <xdr:cNvSpPr/>
      </xdr:nvSpPr>
      <xdr:spPr>
        <a:xfrm flipH="1">
          <a:off x="8486774" y="1371600"/>
          <a:ext cx="161925" cy="276225"/>
        </a:xfrm>
        <a:prstGeom prst="downArrow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19</xdr:col>
      <xdr:colOff>209551</xdr:colOff>
      <xdr:row>10</xdr:row>
      <xdr:rowOff>95250</xdr:rowOff>
    </xdr:from>
    <xdr:to>
      <xdr:col>19</xdr:col>
      <xdr:colOff>390525</xdr:colOff>
      <xdr:row>13</xdr:row>
      <xdr:rowOff>0</xdr:rowOff>
    </xdr:to>
    <xdr:sp macro="" textlink="">
      <xdr:nvSpPr>
        <xdr:cNvPr id="11" name="Seta em curva para a esquerda 10"/>
        <xdr:cNvSpPr/>
      </xdr:nvSpPr>
      <xdr:spPr>
        <a:xfrm flipH="1" flipV="1">
          <a:off x="5524501" y="1581150"/>
          <a:ext cx="180974" cy="400050"/>
        </a:xfrm>
        <a:prstGeom prst="curvedLeftArrow">
          <a:avLst/>
        </a:prstGeom>
        <a:solidFill>
          <a:srgbClr val="009644">
            <a:alpha val="85000"/>
          </a:srgbClr>
        </a:solidFill>
        <a:ln>
          <a:solidFill>
            <a:srgbClr val="009644">
              <a:alpha val="74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47625</xdr:colOff>
      <xdr:row>11</xdr:row>
      <xdr:rowOff>19049</xdr:rowOff>
    </xdr:from>
    <xdr:to>
      <xdr:col>18</xdr:col>
      <xdr:colOff>219074</xdr:colOff>
      <xdr:row>13</xdr:row>
      <xdr:rowOff>104774</xdr:rowOff>
    </xdr:to>
    <xdr:sp macro="" textlink="">
      <xdr:nvSpPr>
        <xdr:cNvPr id="14" name="Seta em curva para a esquerda 13"/>
        <xdr:cNvSpPr/>
      </xdr:nvSpPr>
      <xdr:spPr>
        <a:xfrm flipH="1" flipV="1">
          <a:off x="4810125" y="1657349"/>
          <a:ext cx="171449" cy="428625"/>
        </a:xfrm>
        <a:prstGeom prst="curvedLeftArrow">
          <a:avLst/>
        </a:prstGeom>
        <a:solidFill>
          <a:srgbClr val="C00000">
            <a:alpha val="29000"/>
          </a:srgbClr>
        </a:solidFill>
        <a:ln>
          <a:solidFill>
            <a:srgbClr val="FF0000">
              <a:alpha val="66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19</xdr:col>
      <xdr:colOff>495300</xdr:colOff>
      <xdr:row>11</xdr:row>
      <xdr:rowOff>123826</xdr:rowOff>
    </xdr:from>
    <xdr:to>
      <xdr:col>21</xdr:col>
      <xdr:colOff>190500</xdr:colOff>
      <xdr:row>12</xdr:row>
      <xdr:rowOff>85725</xdr:rowOff>
    </xdr:to>
    <xdr:cxnSp macro="">
      <xdr:nvCxnSpPr>
        <xdr:cNvPr id="16" name="Conector angulado 15"/>
        <xdr:cNvCxnSpPr/>
      </xdr:nvCxnSpPr>
      <xdr:spPr>
        <a:xfrm>
          <a:off x="5810250" y="1762126"/>
          <a:ext cx="685800" cy="114299"/>
        </a:xfrm>
        <a:prstGeom prst="bentConnector3">
          <a:avLst>
            <a:gd name="adj1" fmla="val 50000"/>
          </a:avLst>
        </a:prstGeom>
        <a:ln w="25400">
          <a:solidFill>
            <a:srgbClr val="009644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428625</xdr:colOff>
      <xdr:row>13</xdr:row>
      <xdr:rowOff>76201</xdr:rowOff>
    </xdr:from>
    <xdr:to>
      <xdr:col>22</xdr:col>
      <xdr:colOff>76200</xdr:colOff>
      <xdr:row>13</xdr:row>
      <xdr:rowOff>123825</xdr:rowOff>
    </xdr:to>
    <xdr:cxnSp macro="">
      <xdr:nvCxnSpPr>
        <xdr:cNvPr id="25" name="Conector angulado 24"/>
        <xdr:cNvCxnSpPr/>
      </xdr:nvCxnSpPr>
      <xdr:spPr>
        <a:xfrm flipV="1">
          <a:off x="5191125" y="2057401"/>
          <a:ext cx="1390650" cy="47624"/>
        </a:xfrm>
        <a:prstGeom prst="bentConnector3">
          <a:avLst>
            <a:gd name="adj1" fmla="val 50000"/>
          </a:avLst>
        </a:prstGeom>
        <a:ln w="25400">
          <a:solidFill>
            <a:srgbClr val="FF0000">
              <a:alpha val="65000"/>
            </a:srgb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295276</xdr:colOff>
      <xdr:row>8</xdr:row>
      <xdr:rowOff>19051</xdr:rowOff>
    </xdr:from>
    <xdr:to>
      <xdr:col>21</xdr:col>
      <xdr:colOff>266700</xdr:colOff>
      <xdr:row>22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238126</xdr:colOff>
      <xdr:row>6</xdr:row>
      <xdr:rowOff>95251</xdr:rowOff>
    </xdr:from>
    <xdr:to>
      <xdr:col>21</xdr:col>
      <xdr:colOff>495300</xdr:colOff>
      <xdr:row>22</xdr:row>
      <xdr:rowOff>104777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231188</xdr:colOff>
      <xdr:row>20</xdr:row>
      <xdr:rowOff>0</xdr:rowOff>
    </xdr:from>
    <xdr:to>
      <xdr:col>12</xdr:col>
      <xdr:colOff>342900</xdr:colOff>
      <xdr:row>21</xdr:row>
      <xdr:rowOff>63070</xdr:rowOff>
    </xdr:to>
    <xdr:sp macro="" textlink="">
      <xdr:nvSpPr>
        <xdr:cNvPr id="19" name="Seta para baixo 18"/>
        <xdr:cNvSpPr/>
      </xdr:nvSpPr>
      <xdr:spPr>
        <a:xfrm flipH="1">
          <a:off x="5565188" y="3409950"/>
          <a:ext cx="111712" cy="244045"/>
        </a:xfrm>
        <a:prstGeom prst="downArrow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14</xdr:col>
      <xdr:colOff>637158</xdr:colOff>
      <xdr:row>9</xdr:row>
      <xdr:rowOff>9554</xdr:rowOff>
    </xdr:from>
    <xdr:to>
      <xdr:col>15</xdr:col>
      <xdr:colOff>134674</xdr:colOff>
      <xdr:row>10</xdr:row>
      <xdr:rowOff>2108</xdr:rowOff>
    </xdr:to>
    <xdr:sp macro="" textlink="">
      <xdr:nvSpPr>
        <xdr:cNvPr id="20" name="Seta para baixo 19"/>
        <xdr:cNvSpPr/>
      </xdr:nvSpPr>
      <xdr:spPr>
        <a:xfrm rot="2731302" flipH="1">
          <a:off x="6904739" y="1590573"/>
          <a:ext cx="144954" cy="164266"/>
        </a:xfrm>
        <a:prstGeom prst="downArrow">
          <a:avLst>
            <a:gd name="adj1" fmla="val 50000"/>
            <a:gd name="adj2" fmla="val 52147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152974</xdr:colOff>
      <xdr:row>7</xdr:row>
      <xdr:rowOff>11055</xdr:rowOff>
    </xdr:from>
    <xdr:to>
      <xdr:col>9</xdr:col>
      <xdr:colOff>220594</xdr:colOff>
      <xdr:row>16</xdr:row>
      <xdr:rowOff>109665</xdr:rowOff>
    </xdr:to>
    <xdr:sp macro="" textlink="">
      <xdr:nvSpPr>
        <xdr:cNvPr id="117" name="Arco 116"/>
        <xdr:cNvSpPr/>
      </xdr:nvSpPr>
      <xdr:spPr>
        <a:xfrm rot="2737088">
          <a:off x="2332992" y="1212412"/>
          <a:ext cx="1584510" cy="1467795"/>
        </a:xfrm>
        <a:prstGeom prst="arc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192611</xdr:colOff>
      <xdr:row>22</xdr:row>
      <xdr:rowOff>165666</xdr:rowOff>
    </xdr:from>
    <xdr:to>
      <xdr:col>12</xdr:col>
      <xdr:colOff>104636</xdr:colOff>
      <xdr:row>24</xdr:row>
      <xdr:rowOff>6185</xdr:rowOff>
    </xdr:to>
    <xdr:sp macro="" textlink="">
      <xdr:nvSpPr>
        <xdr:cNvPr id="134" name="Seta para baixo 133"/>
        <xdr:cNvSpPr/>
      </xdr:nvSpPr>
      <xdr:spPr>
        <a:xfrm rot="1578700">
          <a:off x="5326586" y="3937566"/>
          <a:ext cx="112050" cy="231044"/>
        </a:xfrm>
        <a:prstGeom prst="downArrow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21</xdr:col>
      <xdr:colOff>138246</xdr:colOff>
      <xdr:row>17</xdr:row>
      <xdr:rowOff>15574</xdr:rowOff>
    </xdr:from>
    <xdr:to>
      <xdr:col>21</xdr:col>
      <xdr:colOff>291761</xdr:colOff>
      <xdr:row>18</xdr:row>
      <xdr:rowOff>15838</xdr:rowOff>
    </xdr:to>
    <xdr:sp macro="" textlink="">
      <xdr:nvSpPr>
        <xdr:cNvPr id="135" name="Seta para baixo 134"/>
        <xdr:cNvSpPr/>
      </xdr:nvSpPr>
      <xdr:spPr>
        <a:xfrm rot="152163">
          <a:off x="10587171" y="2892124"/>
          <a:ext cx="153515" cy="162189"/>
        </a:xfrm>
        <a:prstGeom prst="downArrow">
          <a:avLst>
            <a:gd name="adj1" fmla="val 50000"/>
            <a:gd name="adj2" fmla="val 52147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13</xdr:col>
      <xdr:colOff>295276</xdr:colOff>
      <xdr:row>8</xdr:row>
      <xdr:rowOff>19051</xdr:rowOff>
    </xdr:from>
    <xdr:to>
      <xdr:col>21</xdr:col>
      <xdr:colOff>266700</xdr:colOff>
      <xdr:row>22</xdr:row>
      <xdr:rowOff>180975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238126</xdr:colOff>
      <xdr:row>6</xdr:row>
      <xdr:rowOff>95251</xdr:rowOff>
    </xdr:from>
    <xdr:to>
      <xdr:col>21</xdr:col>
      <xdr:colOff>495300</xdr:colOff>
      <xdr:row>22</xdr:row>
      <xdr:rowOff>104777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231188</xdr:colOff>
      <xdr:row>20</xdr:row>
      <xdr:rowOff>0</xdr:rowOff>
    </xdr:from>
    <xdr:to>
      <xdr:col>12</xdr:col>
      <xdr:colOff>342900</xdr:colOff>
      <xdr:row>21</xdr:row>
      <xdr:rowOff>63070</xdr:rowOff>
    </xdr:to>
    <xdr:sp macro="" textlink="">
      <xdr:nvSpPr>
        <xdr:cNvPr id="11" name="Seta para baixo 10"/>
        <xdr:cNvSpPr/>
      </xdr:nvSpPr>
      <xdr:spPr>
        <a:xfrm flipH="1">
          <a:off x="5565188" y="3609975"/>
          <a:ext cx="111712" cy="244045"/>
        </a:xfrm>
        <a:prstGeom prst="downArrow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14</xdr:col>
      <xdr:colOff>637158</xdr:colOff>
      <xdr:row>9</xdr:row>
      <xdr:rowOff>9554</xdr:rowOff>
    </xdr:from>
    <xdr:to>
      <xdr:col>15</xdr:col>
      <xdr:colOff>134674</xdr:colOff>
      <xdr:row>10</xdr:row>
      <xdr:rowOff>2108</xdr:rowOff>
    </xdr:to>
    <xdr:sp macro="" textlink="">
      <xdr:nvSpPr>
        <xdr:cNvPr id="12" name="Seta para baixo 11"/>
        <xdr:cNvSpPr/>
      </xdr:nvSpPr>
      <xdr:spPr>
        <a:xfrm rot="2731302" flipH="1">
          <a:off x="6904739" y="1752498"/>
          <a:ext cx="144954" cy="164266"/>
        </a:xfrm>
        <a:prstGeom prst="downArrow">
          <a:avLst>
            <a:gd name="adj1" fmla="val 50000"/>
            <a:gd name="adj2" fmla="val 52147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152974</xdr:colOff>
      <xdr:row>7</xdr:row>
      <xdr:rowOff>11055</xdr:rowOff>
    </xdr:from>
    <xdr:to>
      <xdr:col>9</xdr:col>
      <xdr:colOff>220594</xdr:colOff>
      <xdr:row>16</xdr:row>
      <xdr:rowOff>109665</xdr:rowOff>
    </xdr:to>
    <xdr:sp macro="" textlink="">
      <xdr:nvSpPr>
        <xdr:cNvPr id="13" name="Arco 12"/>
        <xdr:cNvSpPr/>
      </xdr:nvSpPr>
      <xdr:spPr>
        <a:xfrm rot="2737088">
          <a:off x="2666367" y="1536262"/>
          <a:ext cx="1622610" cy="1353495"/>
        </a:xfrm>
        <a:prstGeom prst="arc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192611</xdr:colOff>
      <xdr:row>22</xdr:row>
      <xdr:rowOff>165666</xdr:rowOff>
    </xdr:from>
    <xdr:to>
      <xdr:col>12</xdr:col>
      <xdr:colOff>104636</xdr:colOff>
      <xdr:row>24</xdr:row>
      <xdr:rowOff>6185</xdr:rowOff>
    </xdr:to>
    <xdr:sp macro="" textlink="">
      <xdr:nvSpPr>
        <xdr:cNvPr id="14" name="Seta para baixo 13"/>
        <xdr:cNvSpPr/>
      </xdr:nvSpPr>
      <xdr:spPr>
        <a:xfrm rot="1578700">
          <a:off x="5326586" y="4137591"/>
          <a:ext cx="112050" cy="240569"/>
        </a:xfrm>
        <a:prstGeom prst="downArrow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21</xdr:col>
      <xdr:colOff>138246</xdr:colOff>
      <xdr:row>17</xdr:row>
      <xdr:rowOff>15574</xdr:rowOff>
    </xdr:from>
    <xdr:to>
      <xdr:col>21</xdr:col>
      <xdr:colOff>291761</xdr:colOff>
      <xdr:row>18</xdr:row>
      <xdr:rowOff>15838</xdr:rowOff>
    </xdr:to>
    <xdr:sp macro="" textlink="">
      <xdr:nvSpPr>
        <xdr:cNvPr id="15" name="Seta para baixo 14"/>
        <xdr:cNvSpPr/>
      </xdr:nvSpPr>
      <xdr:spPr>
        <a:xfrm rot="152163">
          <a:off x="10587171" y="3092149"/>
          <a:ext cx="153515" cy="162189"/>
        </a:xfrm>
        <a:prstGeom prst="downArrow">
          <a:avLst>
            <a:gd name="adj1" fmla="val 50000"/>
            <a:gd name="adj2" fmla="val 52147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152399</xdr:colOff>
      <xdr:row>4</xdr:row>
      <xdr:rowOff>95250</xdr:rowOff>
    </xdr:from>
    <xdr:to>
      <xdr:col>23</xdr:col>
      <xdr:colOff>266699</xdr:colOff>
      <xdr:row>19</xdr:row>
      <xdr:rowOff>38100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47625</xdr:colOff>
      <xdr:row>4</xdr:row>
      <xdr:rowOff>114300</xdr:rowOff>
    </xdr:from>
    <xdr:to>
      <xdr:col>25</xdr:col>
      <xdr:colOff>3086100</xdr:colOff>
      <xdr:row>18</xdr:row>
      <xdr:rowOff>190500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4</xdr:row>
      <xdr:rowOff>9525</xdr:rowOff>
    </xdr:from>
    <xdr:to>
      <xdr:col>14</xdr:col>
      <xdr:colOff>1571625</xdr:colOff>
      <xdr:row>18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220980</xdr:colOff>
      <xdr:row>11</xdr:row>
      <xdr:rowOff>38100</xdr:rowOff>
    </xdr:from>
    <xdr:to>
      <xdr:col>21</xdr:col>
      <xdr:colOff>541020</xdr:colOff>
      <xdr:row>20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7</xdr:row>
      <xdr:rowOff>47625</xdr:rowOff>
    </xdr:from>
    <xdr:to>
      <xdr:col>11</xdr:col>
      <xdr:colOff>361949</xdr:colOff>
      <xdr:row>23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467090</xdr:colOff>
      <xdr:row>17</xdr:row>
      <xdr:rowOff>43990</xdr:rowOff>
    </xdr:from>
    <xdr:to>
      <xdr:col>11</xdr:col>
      <xdr:colOff>169320</xdr:colOff>
      <xdr:row>18</xdr:row>
      <xdr:rowOff>136231</xdr:rowOff>
    </xdr:to>
    <xdr:sp macro="" textlink="">
      <xdr:nvSpPr>
        <xdr:cNvPr id="19" name="Seta para baixo 18"/>
        <xdr:cNvSpPr/>
      </xdr:nvSpPr>
      <xdr:spPr>
        <a:xfrm rot="3257288">
          <a:off x="3915397" y="2872658"/>
          <a:ext cx="301791" cy="89285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9790</xdr:colOff>
      <xdr:row>7</xdr:row>
      <xdr:rowOff>158709</xdr:rowOff>
    </xdr:from>
    <xdr:to>
      <xdr:col>6</xdr:col>
      <xdr:colOff>216757</xdr:colOff>
      <xdr:row>8</xdr:row>
      <xdr:rowOff>131276</xdr:rowOff>
    </xdr:to>
    <xdr:sp macro="" textlink="">
      <xdr:nvSpPr>
        <xdr:cNvPr id="20" name="Seta para baixo 19"/>
        <xdr:cNvSpPr/>
      </xdr:nvSpPr>
      <xdr:spPr>
        <a:xfrm rot="3257288">
          <a:off x="1527165" y="1022584"/>
          <a:ext cx="220217" cy="1064217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.projetos.unijui.edu.br/matemat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7"/>
  <sheetViews>
    <sheetView topLeftCell="A13" workbookViewId="0">
      <selection activeCell="H13" sqref="H13"/>
    </sheetView>
  </sheetViews>
  <sheetFormatPr defaultColWidth="9.109375" defaultRowHeight="13.2"/>
  <cols>
    <col min="1" max="1" width="2.5546875" style="406" customWidth="1"/>
    <col min="2" max="2" width="1.88671875" style="406" customWidth="1"/>
    <col min="3" max="3" width="2.44140625" style="406" customWidth="1"/>
    <col min="4" max="4" width="36" style="406" customWidth="1"/>
    <col min="5" max="5" width="31.109375" style="406" customWidth="1"/>
    <col min="6" max="8" width="9.109375" style="406"/>
    <col min="9" max="9" width="38.44140625" style="406" customWidth="1"/>
    <col min="10" max="10" width="2.88671875" style="406" customWidth="1"/>
    <col min="11" max="11" width="2" style="406" customWidth="1"/>
    <col min="12" max="16384" width="9.109375" style="406"/>
  </cols>
  <sheetData>
    <row r="2" spans="2:11" ht="7.5" customHeight="1">
      <c r="B2" s="326"/>
      <c r="C2" s="326"/>
      <c r="D2" s="326"/>
      <c r="E2" s="326"/>
      <c r="F2" s="326"/>
      <c r="G2" s="326"/>
      <c r="H2" s="326"/>
      <c r="I2" s="326"/>
      <c r="J2" s="326"/>
      <c r="K2" s="326"/>
    </row>
    <row r="3" spans="2:11">
      <c r="B3" s="326"/>
      <c r="K3" s="326"/>
    </row>
    <row r="4" spans="2:11">
      <c r="B4" s="326"/>
      <c r="D4" s="326"/>
      <c r="E4" s="326"/>
      <c r="F4" s="326"/>
      <c r="G4" s="326"/>
      <c r="H4" s="326"/>
      <c r="I4" s="326"/>
      <c r="K4" s="326"/>
    </row>
    <row r="5" spans="2:11" ht="12" customHeight="1">
      <c r="B5" s="326"/>
      <c r="D5" s="438"/>
      <c r="E5" s="438"/>
      <c r="F5" s="438"/>
      <c r="G5" s="438"/>
      <c r="H5" s="438"/>
      <c r="I5" s="326"/>
      <c r="K5" s="326"/>
    </row>
    <row r="6" spans="2:11" ht="24" customHeight="1">
      <c r="B6" s="326"/>
      <c r="D6" s="438"/>
      <c r="E6" s="548" t="s">
        <v>180</v>
      </c>
      <c r="F6" s="438"/>
      <c r="G6" s="438"/>
      <c r="H6" s="438"/>
      <c r="I6" s="326"/>
      <c r="K6" s="326"/>
    </row>
    <row r="7" spans="2:11" ht="17.25" customHeight="1">
      <c r="B7" s="326"/>
      <c r="D7" s="438"/>
      <c r="E7" s="438"/>
      <c r="F7" s="438"/>
      <c r="G7" s="438"/>
      <c r="H7" s="438"/>
      <c r="I7" s="326"/>
      <c r="K7" s="326"/>
    </row>
    <row r="8" spans="2:11" ht="17.25" customHeight="1">
      <c r="B8" s="326"/>
      <c r="D8" s="438"/>
      <c r="E8" s="438"/>
      <c r="F8" s="438"/>
      <c r="G8" s="438"/>
      <c r="H8" s="438"/>
      <c r="I8" s="326"/>
      <c r="K8" s="326"/>
    </row>
    <row r="9" spans="2:11" ht="17.25" customHeight="1">
      <c r="B9" s="326"/>
      <c r="D9" s="438"/>
      <c r="E9" s="438"/>
      <c r="F9" s="438"/>
      <c r="G9" s="438"/>
      <c r="H9" s="438"/>
      <c r="I9" s="326"/>
      <c r="K9" s="326"/>
    </row>
    <row r="10" spans="2:11" ht="21" customHeight="1">
      <c r="B10" s="326"/>
      <c r="D10" s="448" t="s">
        <v>176</v>
      </c>
      <c r="E10" s="545" t="s">
        <v>178</v>
      </c>
      <c r="F10" s="438"/>
      <c r="G10" s="438"/>
      <c r="H10" s="438"/>
      <c r="I10" s="557">
        <f>MOD(E$12,7)+2</f>
        <v>6</v>
      </c>
      <c r="K10" s="326"/>
    </row>
    <row r="11" spans="2:11" ht="20.25" customHeight="1">
      <c r="B11" s="326"/>
      <c r="D11" s="438"/>
      <c r="E11" s="438"/>
      <c r="F11" s="438"/>
      <c r="G11" s="546"/>
      <c r="H11" s="438"/>
      <c r="I11" s="557">
        <f>MOD(RIGHT(E$12,3),7)+1</f>
        <v>2</v>
      </c>
      <c r="K11" s="326"/>
    </row>
    <row r="12" spans="2:11" ht="21.75" customHeight="1">
      <c r="B12" s="326"/>
      <c r="D12" s="448" t="s">
        <v>177</v>
      </c>
      <c r="E12" s="547">
        <v>123456</v>
      </c>
      <c r="F12" s="438"/>
      <c r="G12" s="438"/>
      <c r="H12" s="438"/>
      <c r="I12" s="326"/>
      <c r="K12" s="326"/>
    </row>
    <row r="13" spans="2:11" ht="37.5" customHeight="1">
      <c r="B13" s="326"/>
      <c r="D13" s="438"/>
      <c r="E13" s="438"/>
      <c r="F13" s="438"/>
      <c r="G13" s="438"/>
      <c r="H13" s="438"/>
      <c r="I13" s="326"/>
      <c r="K13" s="326"/>
    </row>
    <row r="14" spans="2:11" ht="27.75" customHeight="1">
      <c r="B14" s="326"/>
      <c r="D14" s="438"/>
      <c r="E14" s="438"/>
      <c r="F14" s="438"/>
      <c r="G14" s="438"/>
      <c r="H14" s="438"/>
      <c r="I14" s="326"/>
      <c r="K14" s="326"/>
    </row>
    <row r="15" spans="2:11" ht="17.25" customHeight="1">
      <c r="B15" s="326"/>
      <c r="D15" s="438"/>
      <c r="E15" s="438"/>
      <c r="F15" s="438"/>
      <c r="G15" s="438"/>
      <c r="H15" s="438"/>
      <c r="I15" s="326"/>
      <c r="K15" s="326"/>
    </row>
    <row r="16" spans="2:11" ht="17.25" customHeight="1">
      <c r="B16" s="326"/>
      <c r="D16" s="438" t="s">
        <v>179</v>
      </c>
      <c r="E16" s="438"/>
      <c r="F16" s="438"/>
      <c r="G16" s="438"/>
      <c r="H16" s="438"/>
      <c r="I16" s="326"/>
      <c r="K16" s="326"/>
    </row>
    <row r="17" spans="2:11" ht="17.25" customHeight="1">
      <c r="B17" s="326"/>
      <c r="D17" s="438"/>
      <c r="E17" s="438"/>
      <c r="F17" s="438"/>
      <c r="G17" s="438"/>
      <c r="H17" s="438"/>
      <c r="I17" s="326"/>
      <c r="K17" s="326"/>
    </row>
    <row r="18" spans="2:11" ht="17.25" customHeight="1">
      <c r="B18" s="326"/>
      <c r="D18" s="326"/>
      <c r="E18" s="326"/>
      <c r="F18" s="326"/>
      <c r="G18" s="326"/>
      <c r="H18" s="326"/>
      <c r="I18" s="326"/>
      <c r="K18" s="326"/>
    </row>
    <row r="19" spans="2:11" ht="17.25" customHeight="1">
      <c r="B19" s="326"/>
      <c r="D19" s="326"/>
      <c r="E19" s="326"/>
      <c r="F19" s="326"/>
      <c r="G19" s="326"/>
      <c r="H19" s="326"/>
      <c r="I19" s="326"/>
      <c r="K19" s="326"/>
    </row>
    <row r="20" spans="2:11" ht="12" customHeight="1">
      <c r="B20" s="326"/>
      <c r="K20" s="326"/>
    </row>
    <row r="21" spans="2:11" ht="6.75" customHeight="1"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spans="2:11" ht="17.25" customHeight="1"/>
    <row r="23" spans="2:11" ht="17.25" customHeight="1"/>
    <row r="24" spans="2:11" ht="17.25" customHeight="1"/>
    <row r="25" spans="2:11" ht="17.25" customHeight="1"/>
    <row r="26" spans="2:11" ht="17.25" customHeight="1"/>
    <row r="27" spans="2:11" ht="17.2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32"/>
  <sheetViews>
    <sheetView workbookViewId="0">
      <selection activeCell="AC3" sqref="AC3"/>
    </sheetView>
  </sheetViews>
  <sheetFormatPr defaultColWidth="9.109375" defaultRowHeight="19.5" customHeight="1"/>
  <cols>
    <col min="1" max="1" width="2.33203125" style="4" customWidth="1"/>
    <col min="2" max="2" width="4.5546875" style="4" customWidth="1"/>
    <col min="3" max="3" width="10.44140625" style="4" customWidth="1"/>
    <col min="4" max="4" width="8" style="4" customWidth="1"/>
    <col min="5" max="5" width="2.109375" style="4" customWidth="1"/>
    <col min="6" max="6" width="6.33203125" style="4" customWidth="1"/>
    <col min="7" max="7" width="5.109375" style="4" customWidth="1"/>
    <col min="8" max="8" width="2.109375" style="4" customWidth="1"/>
    <col min="9" max="9" width="9.44140625" style="4" customWidth="1"/>
    <col min="10" max="10" width="5.109375" style="4" customWidth="1"/>
    <col min="11" max="11" width="3.5546875" style="4" customWidth="1"/>
    <col min="12" max="12" width="8" style="4" customWidth="1"/>
    <col min="13" max="13" width="7" style="4" customWidth="1"/>
    <col min="14" max="14" width="2.109375" style="4" customWidth="1"/>
    <col min="15" max="15" width="7" style="4" customWidth="1"/>
    <col min="16" max="16" width="3.44140625" style="4" customWidth="1"/>
    <col min="17" max="17" width="2.33203125" style="4" customWidth="1"/>
    <col min="18" max="18" width="4.5546875" style="4" customWidth="1"/>
    <col min="19" max="19" width="3.109375" style="4" customWidth="1"/>
    <col min="20" max="20" width="4.44140625" style="4" customWidth="1"/>
    <col min="21" max="21" width="1.6640625" style="4" customWidth="1"/>
    <col min="22" max="23" width="4.44140625" style="4" customWidth="1"/>
    <col min="24" max="24" width="3" style="4" customWidth="1"/>
    <col min="25" max="25" width="6.88671875" style="4" customWidth="1"/>
    <col min="26" max="26" width="2.33203125" style="4" customWidth="1"/>
    <col min="27" max="16384" width="9.109375" style="4"/>
  </cols>
  <sheetData>
    <row r="1" spans="1:26" ht="10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" customHeight="1">
      <c r="A2" s="3"/>
      <c r="B2" s="5"/>
      <c r="C2" s="70" t="s">
        <v>50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36"/>
      <c r="O2" s="36"/>
      <c r="P2" s="36"/>
      <c r="Q2" s="36"/>
      <c r="R2" s="5"/>
      <c r="S2" s="5"/>
      <c r="T2" s="5"/>
      <c r="U2" s="5"/>
      <c r="V2" s="5"/>
      <c r="W2" s="5"/>
      <c r="X2" s="5"/>
      <c r="Y2" s="5"/>
      <c r="Z2" s="3"/>
    </row>
    <row r="3" spans="1:26" ht="33" customHeight="1">
      <c r="A3" s="3"/>
      <c r="B3" s="5"/>
      <c r="C3" s="803" t="s">
        <v>17</v>
      </c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10"/>
      <c r="Z3" s="3"/>
    </row>
    <row r="4" spans="1:26" ht="23.25" customHeight="1" thickBot="1">
      <c r="A4" s="3"/>
      <c r="B4" s="5"/>
      <c r="C4" s="7" t="s">
        <v>7</v>
      </c>
      <c r="D4" s="13" t="s">
        <v>1</v>
      </c>
      <c r="E4" s="6" t="s">
        <v>3</v>
      </c>
      <c r="F4" s="13" t="s">
        <v>2</v>
      </c>
      <c r="G4" s="6" t="s"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3"/>
    </row>
    <row r="5" spans="1:26" ht="14.25" customHeight="1" thickBot="1">
      <c r="A5" s="3"/>
      <c r="B5" s="5"/>
      <c r="C5" s="7" t="s">
        <v>4</v>
      </c>
      <c r="D5" s="14">
        <v>1</v>
      </c>
      <c r="E5" s="12" t="s">
        <v>3</v>
      </c>
      <c r="F5" s="15">
        <v>3</v>
      </c>
      <c r="G5" s="8" t="s">
        <v>0</v>
      </c>
      <c r="H5" s="18" t="str">
        <f>CONCATENATE(" 1º O ponto A é (",D5,",  ",F5,") e o ponto B é (",D7,",  ",F7,").")</f>
        <v xml:space="preserve"> 1º O ponto A é (1,  3) e o ponto B é (4,  9).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"/>
    </row>
    <row r="6" spans="1:26" ht="6" customHeight="1" thickBot="1">
      <c r="A6" s="3"/>
      <c r="B6" s="5"/>
      <c r="C6" s="7"/>
      <c r="D6" s="12"/>
      <c r="E6" s="12"/>
      <c r="F6" s="12"/>
      <c r="G6" s="8"/>
      <c r="H6" s="5"/>
      <c r="I6" s="5"/>
      <c r="J6" s="5"/>
      <c r="K6" s="11"/>
      <c r="L6" s="1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"/>
    </row>
    <row r="7" spans="1:26" ht="15" customHeight="1" thickBot="1">
      <c r="A7" s="3"/>
      <c r="B7" s="5"/>
      <c r="C7" s="7" t="s">
        <v>5</v>
      </c>
      <c r="D7" s="16">
        <v>4</v>
      </c>
      <c r="E7" s="12" t="s">
        <v>3</v>
      </c>
      <c r="F7" s="17">
        <v>9</v>
      </c>
      <c r="G7" s="8" t="s"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"/>
    </row>
    <row r="8" spans="1:26" ht="9.75" customHeight="1" thickBot="1">
      <c r="A8" s="3"/>
      <c r="B8" s="5"/>
      <c r="C8" s="7"/>
      <c r="D8" s="7"/>
      <c r="E8" s="7"/>
      <c r="F8" s="7"/>
      <c r="G8" s="8"/>
      <c r="H8" s="5"/>
      <c r="I8" s="43"/>
      <c r="J8" s="43"/>
      <c r="K8" s="43"/>
      <c r="L8" s="43"/>
      <c r="M8" s="4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/>
    </row>
    <row r="9" spans="1:26" ht="21" customHeight="1">
      <c r="A9" s="3"/>
      <c r="B9" s="5"/>
      <c r="C9" s="37" t="s">
        <v>13</v>
      </c>
      <c r="D9" s="38"/>
      <c r="E9" s="38"/>
      <c r="F9" s="38"/>
      <c r="G9" s="39"/>
      <c r="H9" s="42"/>
      <c r="I9" s="40" t="s">
        <v>14</v>
      </c>
      <c r="J9" s="38"/>
      <c r="K9" s="38"/>
      <c r="L9" s="38"/>
      <c r="M9" s="39"/>
      <c r="N9" s="24"/>
      <c r="O9" s="37" t="s">
        <v>39</v>
      </c>
      <c r="P9" s="38"/>
      <c r="Q9" s="38"/>
      <c r="R9" s="19"/>
      <c r="S9" s="19"/>
      <c r="T9" s="19"/>
      <c r="U9" s="19"/>
      <c r="V9" s="19"/>
      <c r="W9" s="19"/>
      <c r="X9" s="20"/>
      <c r="Y9" s="5"/>
      <c r="Z9" s="3"/>
    </row>
    <row r="10" spans="1:26" ht="21" customHeight="1">
      <c r="A10" s="3"/>
      <c r="B10" s="5"/>
      <c r="C10" s="41" t="s">
        <v>15</v>
      </c>
      <c r="D10" s="21" t="s">
        <v>20</v>
      </c>
      <c r="E10" s="26"/>
      <c r="F10" s="26"/>
      <c r="G10" s="44"/>
      <c r="H10" s="42"/>
      <c r="I10" s="52" t="s">
        <v>18</v>
      </c>
      <c r="J10" s="53">
        <f>D5</f>
        <v>1</v>
      </c>
      <c r="K10" s="21" t="s">
        <v>12</v>
      </c>
      <c r="L10" s="28" t="s">
        <v>9</v>
      </c>
      <c r="M10" s="30">
        <f>F5</f>
        <v>3</v>
      </c>
      <c r="N10" s="29"/>
      <c r="O10" s="62" t="s">
        <v>21</v>
      </c>
      <c r="P10" s="54">
        <f>F7</f>
        <v>9</v>
      </c>
      <c r="Q10" s="55" t="s">
        <v>22</v>
      </c>
      <c r="R10" s="56">
        <f>F5</f>
        <v>3</v>
      </c>
      <c r="S10" s="58" t="s">
        <v>23</v>
      </c>
      <c r="T10" s="59">
        <f>D7</f>
        <v>4</v>
      </c>
      <c r="U10" s="57" t="s">
        <v>22</v>
      </c>
      <c r="V10" s="60">
        <f>D5</f>
        <v>1</v>
      </c>
      <c r="W10" s="21" t="s">
        <v>24</v>
      </c>
      <c r="X10" s="63">
        <f>(F7-F5)/(D7-D5)</f>
        <v>2</v>
      </c>
      <c r="Y10" s="61"/>
      <c r="Z10" s="3"/>
    </row>
    <row r="11" spans="1:26" ht="21" customHeight="1" thickBot="1">
      <c r="A11" s="3"/>
      <c r="B11" s="5"/>
      <c r="C11" s="45" t="s">
        <v>16</v>
      </c>
      <c r="D11" s="22" t="s">
        <v>19</v>
      </c>
      <c r="E11" s="46"/>
      <c r="F11" s="46"/>
      <c r="G11" s="47"/>
      <c r="H11" s="42"/>
      <c r="I11" s="31" t="s">
        <v>11</v>
      </c>
      <c r="J11" s="32">
        <f>D7</f>
        <v>4</v>
      </c>
      <c r="K11" s="33" t="s">
        <v>12</v>
      </c>
      <c r="L11" s="34" t="s">
        <v>10</v>
      </c>
      <c r="M11" s="35">
        <f>F7</f>
        <v>9</v>
      </c>
      <c r="N11" s="27"/>
      <c r="O11" s="45" t="s">
        <v>16</v>
      </c>
      <c r="P11" s="22">
        <f>F5</f>
        <v>3</v>
      </c>
      <c r="Q11" s="46" t="s">
        <v>22</v>
      </c>
      <c r="R11" s="64">
        <f>X10</f>
        <v>2</v>
      </c>
      <c r="S11" s="65" t="s">
        <v>25</v>
      </c>
      <c r="T11" s="66">
        <f>D5</f>
        <v>1</v>
      </c>
      <c r="U11" s="25"/>
      <c r="V11" s="25" t="s">
        <v>8</v>
      </c>
      <c r="W11" s="67">
        <f>F5-X10*D5</f>
        <v>1</v>
      </c>
      <c r="X11" s="23"/>
      <c r="Y11" s="342" t="str">
        <f>IF(W11&gt;0," + ",IF(W11&lt;0," - ",""))</f>
        <v xml:space="preserve"> + </v>
      </c>
      <c r="Z11" s="3"/>
    </row>
    <row r="12" spans="1:26" ht="11.25" customHeight="1" thickBot="1">
      <c r="A12" s="3"/>
      <c r="B12" s="5"/>
      <c r="C12" s="5"/>
      <c r="D12" s="5"/>
      <c r="E12" s="5"/>
      <c r="F12" s="5"/>
      <c r="G12" s="5"/>
      <c r="H12" s="24"/>
      <c r="I12" s="24"/>
      <c r="J12" s="2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342">
        <f>IF(W11=0,"",ABS(W11))</f>
        <v>1</v>
      </c>
      <c r="X12" s="5"/>
      <c r="Y12" s="5"/>
      <c r="Z12" s="3"/>
    </row>
    <row r="13" spans="1:26" ht="32.25" customHeight="1">
      <c r="A13" s="3"/>
      <c r="B13" s="5"/>
      <c r="C13" s="804" t="s">
        <v>26</v>
      </c>
      <c r="D13" s="805"/>
      <c r="E13" s="805"/>
      <c r="F13" s="805"/>
      <c r="G13" s="805"/>
      <c r="H13" s="805"/>
      <c r="I13" s="805"/>
      <c r="J13" s="805"/>
      <c r="K13" s="805"/>
      <c r="L13" s="806"/>
      <c r="M13" s="24"/>
      <c r="N13" s="24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3"/>
    </row>
    <row r="14" spans="1:26" ht="12.75" customHeight="1" thickBot="1">
      <c r="A14" s="3"/>
      <c r="B14" s="5"/>
      <c r="C14" s="69" t="str">
        <f>IF(D7-D5=0,CONCATENATE("x=",D5),CONCATENATE(" Resposta final: A equação da reta que passo pelos pontos A e B é y=", H28, J28,L28))</f>
        <v xml:space="preserve"> Resposta final: A equação da reta que passo pelos pontos A e B é y=2x +1</v>
      </c>
      <c r="D14" s="25"/>
      <c r="E14" s="25"/>
      <c r="F14" s="25"/>
      <c r="G14" s="25"/>
      <c r="H14" s="25"/>
      <c r="I14" s="25"/>
      <c r="J14" s="25"/>
      <c r="K14" s="25"/>
      <c r="L14" s="23"/>
      <c r="M14" s="24"/>
      <c r="N14" s="24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3"/>
    </row>
    <row r="15" spans="1:26" ht="12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thickBot="1">
      <c r="A16" s="3"/>
      <c r="B16" s="5"/>
      <c r="C16" s="71" t="s">
        <v>48</v>
      </c>
      <c r="D16" s="5"/>
      <c r="E16" s="5"/>
      <c r="F16" s="5"/>
      <c r="G16" s="5"/>
      <c r="H16" s="5"/>
      <c r="I16" s="5"/>
      <c r="J16" s="5"/>
      <c r="K16" s="5"/>
      <c r="L16" s="5"/>
      <c r="M16" s="24"/>
      <c r="N16" s="24"/>
      <c r="O16" s="24"/>
      <c r="P16" s="5"/>
      <c r="Q16" s="5"/>
      <c r="R16" s="5"/>
      <c r="S16" s="5"/>
      <c r="T16" s="5"/>
      <c r="U16" s="5"/>
      <c r="V16" s="5"/>
      <c r="W16" s="5"/>
      <c r="X16" s="5"/>
      <c r="Y16" s="5"/>
      <c r="Z16" s="3"/>
    </row>
    <row r="17" spans="1:26" ht="16.5" customHeight="1" thickBot="1">
      <c r="A17" s="3"/>
      <c r="B17" s="24"/>
      <c r="C17" s="160" t="s">
        <v>1</v>
      </c>
      <c r="D17" s="161" t="str">
        <f>CONCATENATE("y=",X10,"x ",Y11,W12)</f>
        <v>y=2x  + 1</v>
      </c>
      <c r="E17" s="162"/>
      <c r="F17" s="345" t="str">
        <f>D17</f>
        <v>y=2x  + 1</v>
      </c>
      <c r="G17" s="72" t="s">
        <v>6</v>
      </c>
      <c r="H17" s="71"/>
      <c r="I17" s="71"/>
      <c r="J17" s="73"/>
      <c r="K17" s="73"/>
      <c r="L17" s="73"/>
      <c r="M17" s="68"/>
      <c r="N17" s="68"/>
      <c r="O17" s="24"/>
      <c r="P17" s="5"/>
      <c r="Q17" s="5"/>
      <c r="R17" s="5"/>
      <c r="S17" s="5"/>
      <c r="T17" s="5"/>
      <c r="U17" s="5"/>
      <c r="V17" s="5"/>
      <c r="W17" s="5"/>
      <c r="X17" s="5"/>
      <c r="Y17" s="5"/>
      <c r="Z17" s="3"/>
    </row>
    <row r="18" spans="1:26" ht="19.5" customHeight="1" thickBot="1">
      <c r="A18" s="3"/>
      <c r="B18" s="24"/>
      <c r="C18" s="163">
        <v>2</v>
      </c>
      <c r="D18" s="801" t="str">
        <f>CONCATENATE(X$10,"*",C18,Y$11,W$12)</f>
        <v>2*2 + 1</v>
      </c>
      <c r="E18" s="802"/>
      <c r="F18" s="343">
        <f>X$10*C18+W$11</f>
        <v>5</v>
      </c>
      <c r="G18" s="807" t="s">
        <v>27</v>
      </c>
      <c r="H18" s="807"/>
      <c r="I18" s="807"/>
      <c r="J18" s="807"/>
      <c r="K18" s="807"/>
      <c r="L18" s="807"/>
      <c r="M18" s="50"/>
      <c r="N18" s="50"/>
      <c r="O18" s="9"/>
      <c r="P18" s="9"/>
      <c r="Q18" s="9"/>
      <c r="R18" s="9"/>
      <c r="S18" s="9"/>
      <c r="T18" s="9"/>
      <c r="U18" s="9"/>
      <c r="V18" s="9"/>
      <c r="W18" s="9"/>
      <c r="X18" s="5"/>
      <c r="Y18" s="5"/>
      <c r="Z18" s="3"/>
    </row>
    <row r="19" spans="1:26" ht="15.75" customHeight="1" thickBot="1">
      <c r="A19" s="3"/>
      <c r="B19" s="24"/>
      <c r="C19" s="163">
        <v>3</v>
      </c>
      <c r="D19" s="801" t="str">
        <f>CONCATENATE(X$10,"*",C19,Y$11,W$12)</f>
        <v>2*3 + 1</v>
      </c>
      <c r="E19" s="802"/>
      <c r="F19" s="344">
        <f>X$10*C19+W$11</f>
        <v>7</v>
      </c>
      <c r="G19" s="74" t="s">
        <v>28</v>
      </c>
      <c r="H19" s="75"/>
      <c r="I19" s="75"/>
      <c r="J19" s="75"/>
      <c r="K19" s="75"/>
      <c r="L19" s="75"/>
      <c r="M19" s="50"/>
      <c r="N19" s="4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"/>
    </row>
    <row r="20" spans="1:26" ht="15" customHeight="1" thickBot="1">
      <c r="A20" s="3"/>
      <c r="B20" s="24"/>
      <c r="C20" s="163">
        <v>4</v>
      </c>
      <c r="D20" s="801" t="str">
        <f>CONCATENATE(X$10,"*",C20,Y$11,W$12)</f>
        <v>2*4 + 1</v>
      </c>
      <c r="E20" s="802"/>
      <c r="F20" s="344">
        <f>X$10*C20+W$11</f>
        <v>9</v>
      </c>
      <c r="G20" s="74" t="s">
        <v>28</v>
      </c>
      <c r="H20" s="75"/>
      <c r="I20" s="75"/>
      <c r="J20" s="75"/>
      <c r="K20" s="75"/>
      <c r="L20" s="75"/>
      <c r="M20" s="50"/>
      <c r="N20" s="4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"/>
    </row>
    <row r="21" spans="1:26" ht="15" customHeight="1">
      <c r="A21" s="3"/>
      <c r="B21" s="24"/>
      <c r="C21" s="163">
        <v>5</v>
      </c>
      <c r="D21" s="801" t="str">
        <f>CONCATENATE(X$10,"*",C21,Y$11,W$12)</f>
        <v>2*5 + 1</v>
      </c>
      <c r="E21" s="802"/>
      <c r="F21" s="344">
        <f>X$10*C21+W$11</f>
        <v>11</v>
      </c>
      <c r="G21" s="74" t="s">
        <v>28</v>
      </c>
      <c r="H21" s="75"/>
      <c r="I21" s="75"/>
      <c r="J21" s="75"/>
      <c r="K21" s="75"/>
      <c r="L21" s="75"/>
      <c r="M21" s="50"/>
      <c r="N21" s="5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6" spans="1:26" ht="19.5" customHeight="1"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6" ht="19.5" customHeight="1">
      <c r="E27" s="123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123"/>
      <c r="Q27" s="123"/>
      <c r="R27" s="123"/>
      <c r="S27" s="123"/>
      <c r="T27" s="123"/>
      <c r="U27" s="123"/>
    </row>
    <row r="28" spans="1:26" ht="19.5" customHeight="1">
      <c r="E28" s="123"/>
      <c r="F28" s="340"/>
      <c r="G28" s="340"/>
      <c r="H28" s="341" t="str">
        <f>IF((F7-F5)/(D7-D5)=1,"x",IF((F7-F5)/(D7-D5)=-1,"- x ",IF((F7-F5)/(D7-D5)=0,"",CONCATENATE(ROUND((F7-F5)/(D7-D5),3),"x"))))</f>
        <v>2x</v>
      </c>
      <c r="I28" s="340"/>
      <c r="J28" s="340" t="str">
        <f>IF(F19-C19*(F7-F5)/(D7-D5)&lt;0," - ",IF(F19-(F7-F5)/(D7-D5)*C19=0,"",IF((F7-F5)/(D7-D5)=0,""," +")))</f>
        <v xml:space="preserve"> +</v>
      </c>
      <c r="K28" s="340"/>
      <c r="L28" s="340">
        <f>IF(ABS(F19-(F7-F5)/(D7-D5)*C19)=0,"",ABS(F19-(F7-F5)/(D7-D5)*C19))</f>
        <v>1</v>
      </c>
      <c r="M28" s="340"/>
      <c r="N28" s="340"/>
      <c r="O28" s="340"/>
      <c r="P28" s="123"/>
      <c r="Q28" s="123"/>
      <c r="R28" s="123"/>
      <c r="S28" s="123"/>
      <c r="T28" s="123"/>
      <c r="U28" s="123"/>
    </row>
    <row r="29" spans="1:26" ht="19.5" customHeight="1">
      <c r="E29" s="123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123"/>
      <c r="Q29" s="123"/>
      <c r="R29" s="123"/>
      <c r="S29" s="123"/>
      <c r="T29" s="123"/>
      <c r="U29" s="123"/>
    </row>
    <row r="30" spans="1:26" ht="19.5" customHeight="1">
      <c r="E30" s="123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123"/>
      <c r="Q30" s="123"/>
      <c r="R30" s="123"/>
      <c r="S30" s="123"/>
      <c r="T30" s="123"/>
      <c r="U30" s="123"/>
    </row>
    <row r="31" spans="1:26" ht="19.5" customHeight="1">
      <c r="E31" s="123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123"/>
      <c r="Q31" s="123"/>
      <c r="R31" s="123"/>
      <c r="S31" s="123"/>
      <c r="T31" s="123"/>
      <c r="U31" s="123"/>
    </row>
    <row r="32" spans="1:26" ht="19.5" customHeight="1">
      <c r="E32" s="123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123"/>
      <c r="Q32" s="123"/>
      <c r="R32" s="123"/>
      <c r="S32" s="123"/>
      <c r="T32" s="123"/>
      <c r="U32" s="123"/>
    </row>
  </sheetData>
  <mergeCells count="7">
    <mergeCell ref="D18:E18"/>
    <mergeCell ref="D19:E19"/>
    <mergeCell ref="D20:E20"/>
    <mergeCell ref="D21:E21"/>
    <mergeCell ref="C3:X3"/>
    <mergeCell ref="C13:L13"/>
    <mergeCell ref="G18:L1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27"/>
  <sheetViews>
    <sheetView topLeftCell="A4" workbookViewId="0">
      <selection activeCell="F7" sqref="F7"/>
    </sheetView>
  </sheetViews>
  <sheetFormatPr defaultColWidth="9.109375" defaultRowHeight="19.5" customHeight="1"/>
  <cols>
    <col min="1" max="1" width="2.33203125" style="4" customWidth="1"/>
    <col min="2" max="2" width="4.5546875" style="4" customWidth="1"/>
    <col min="3" max="3" width="9.6640625" style="4" customWidth="1"/>
    <col min="4" max="4" width="6.6640625" style="4" customWidth="1"/>
    <col min="5" max="5" width="4.33203125" style="4" customWidth="1"/>
    <col min="6" max="6" width="6.6640625" style="4" customWidth="1"/>
    <col min="7" max="7" width="2.5546875" style="4" customWidth="1"/>
    <col min="8" max="8" width="3.44140625" style="4" customWidth="1"/>
    <col min="9" max="9" width="5.33203125" style="4" customWidth="1"/>
    <col min="10" max="10" width="10.109375" style="4" customWidth="1"/>
    <col min="11" max="11" width="4.5546875" style="4" customWidth="1"/>
    <col min="12" max="12" width="3.33203125" style="4" customWidth="1"/>
    <col min="13" max="13" width="6.6640625" style="4" customWidth="1"/>
    <col min="14" max="14" width="2.109375" style="4" customWidth="1"/>
    <col min="15" max="15" width="7" style="4" customWidth="1"/>
    <col min="16" max="16" width="3.44140625" style="4" customWidth="1"/>
    <col min="17" max="17" width="5.5546875" style="4" customWidth="1"/>
    <col min="18" max="18" width="7" style="4" customWidth="1"/>
    <col min="19" max="19" width="3.109375" style="4" customWidth="1"/>
    <col min="20" max="20" width="4.44140625" style="4" customWidth="1"/>
    <col min="21" max="21" width="1.6640625" style="4" customWidth="1"/>
    <col min="22" max="23" width="4.44140625" style="4" customWidth="1"/>
    <col min="24" max="24" width="4.33203125" style="4" customWidth="1"/>
    <col min="25" max="25" width="3.6640625" style="4" customWidth="1"/>
    <col min="26" max="26" width="2.33203125" style="4" customWidth="1"/>
    <col min="27" max="16384" width="9.109375" style="4"/>
  </cols>
  <sheetData>
    <row r="1" spans="1:39" ht="10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</row>
    <row r="2" spans="1:39" ht="27" customHeight="1">
      <c r="A2" s="3"/>
      <c r="B2" s="5"/>
      <c r="C2" s="70" t="s">
        <v>46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36"/>
      <c r="O2" s="36"/>
      <c r="P2" s="36"/>
      <c r="Q2" s="36"/>
      <c r="R2" s="5"/>
      <c r="S2" s="5"/>
      <c r="T2" s="5"/>
      <c r="U2" s="5"/>
      <c r="V2" s="5"/>
      <c r="W2" s="5"/>
      <c r="X2" s="5"/>
      <c r="Y2" s="5"/>
      <c r="Z2" s="3"/>
      <c r="AA2" s="126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</row>
    <row r="3" spans="1:39" ht="33" customHeight="1">
      <c r="A3" s="3"/>
      <c r="B3" s="5"/>
      <c r="C3" s="803" t="s">
        <v>47</v>
      </c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10"/>
      <c r="Z3" s="3"/>
      <c r="AA3" s="125"/>
      <c r="AB3" s="125"/>
      <c r="AC3" s="125"/>
      <c r="AD3" s="125"/>
      <c r="AE3" s="127"/>
      <c r="AF3" s="126"/>
      <c r="AG3" s="126"/>
      <c r="AH3" s="128"/>
      <c r="AI3" s="128"/>
      <c r="AJ3" s="128"/>
      <c r="AK3" s="129"/>
      <c r="AL3" s="125"/>
      <c r="AM3" s="125"/>
    </row>
    <row r="4" spans="1:39" ht="22.5" customHeight="1" thickBot="1">
      <c r="A4" s="3"/>
      <c r="B4" s="5"/>
      <c r="C4" s="7" t="s">
        <v>7</v>
      </c>
      <c r="D4" s="13" t="s">
        <v>1</v>
      </c>
      <c r="E4" s="6" t="s">
        <v>3</v>
      </c>
      <c r="F4" s="13" t="s">
        <v>2</v>
      </c>
      <c r="G4" s="153" t="s">
        <v>0</v>
      </c>
      <c r="H4" s="24"/>
      <c r="I4" s="24"/>
      <c r="J4" s="24"/>
      <c r="K4" s="24"/>
      <c r="L4" s="24"/>
      <c r="M4" s="24"/>
      <c r="N4" s="24"/>
      <c r="O4" s="24"/>
      <c r="P4" s="24"/>
      <c r="Q4" s="5"/>
      <c r="R4" s="5"/>
      <c r="S4" s="5"/>
      <c r="T4" s="5"/>
      <c r="U4" s="5"/>
      <c r="V4" s="5"/>
      <c r="W4" s="5"/>
      <c r="X4" s="5"/>
      <c r="Y4" s="5"/>
      <c r="Z4" s="3"/>
      <c r="AA4" s="125"/>
      <c r="AB4" s="125"/>
      <c r="AC4" s="125"/>
      <c r="AD4" s="125"/>
      <c r="AE4" s="130"/>
      <c r="AF4" s="130"/>
      <c r="AG4" s="130"/>
      <c r="AH4" s="130"/>
      <c r="AI4" s="130"/>
      <c r="AJ4" s="130"/>
      <c r="AK4" s="131"/>
      <c r="AL4" s="125"/>
      <c r="AM4" s="125"/>
    </row>
    <row r="5" spans="1:39" ht="17.25" customHeight="1" thickBot="1">
      <c r="A5" s="3"/>
      <c r="B5" s="5"/>
      <c r="C5" s="7" t="s">
        <v>4</v>
      </c>
      <c r="D5" s="14">
        <v>1</v>
      </c>
      <c r="E5" s="12" t="s">
        <v>3</v>
      </c>
      <c r="F5" s="15">
        <v>3</v>
      </c>
      <c r="G5" s="154" t="s">
        <v>0</v>
      </c>
      <c r="H5" s="24"/>
      <c r="I5" s="157" t="str">
        <f>CONCATENATE("1 °O ponto A é (",D5,",  ",F5,") e o ponto B é (",D7,",  ",F7,").")</f>
        <v>1 °O ponto A é (1,  3) e o ponto B é (4,  9).</v>
      </c>
      <c r="J5" s="158"/>
      <c r="K5" s="158"/>
      <c r="L5" s="158"/>
      <c r="M5" s="158"/>
      <c r="N5" s="158"/>
      <c r="O5" s="159"/>
      <c r="P5" s="24"/>
      <c r="Q5" s="5"/>
      <c r="R5" s="5"/>
      <c r="S5" s="5"/>
      <c r="T5" s="5"/>
      <c r="U5" s="5"/>
      <c r="V5" s="5"/>
      <c r="W5" s="5"/>
      <c r="X5" s="5"/>
      <c r="Y5" s="5"/>
      <c r="Z5" s="3"/>
      <c r="AA5" s="125"/>
      <c r="AB5" s="125"/>
      <c r="AC5" s="125"/>
      <c r="AD5" s="125"/>
      <c r="AE5" s="132"/>
      <c r="AF5" s="126"/>
      <c r="AG5" s="126"/>
      <c r="AH5" s="126"/>
      <c r="AI5" s="126"/>
      <c r="AJ5" s="126"/>
      <c r="AK5" s="131"/>
      <c r="AL5" s="125"/>
      <c r="AM5" s="125"/>
    </row>
    <row r="6" spans="1:39" ht="6" customHeight="1" thickBot="1">
      <c r="A6" s="3"/>
      <c r="B6" s="5"/>
      <c r="C6" s="7"/>
      <c r="D6" s="12"/>
      <c r="E6" s="12"/>
      <c r="F6" s="12"/>
      <c r="G6" s="153"/>
      <c r="H6" s="24"/>
      <c r="I6" s="24"/>
      <c r="J6" s="24"/>
      <c r="K6" s="155"/>
      <c r="L6" s="156"/>
      <c r="M6" s="24"/>
      <c r="N6" s="24"/>
      <c r="O6" s="24"/>
      <c r="P6" s="24"/>
      <c r="Q6" s="5"/>
      <c r="R6" s="5"/>
      <c r="S6" s="5"/>
      <c r="T6" s="5"/>
      <c r="U6" s="5"/>
      <c r="V6" s="5"/>
      <c r="W6" s="5"/>
      <c r="X6" s="5"/>
      <c r="Y6" s="5"/>
      <c r="Z6" s="3"/>
      <c r="AA6" s="125"/>
      <c r="AB6" s="125"/>
      <c r="AC6" s="125"/>
      <c r="AD6" s="125"/>
      <c r="AE6" s="132"/>
      <c r="AF6" s="126"/>
      <c r="AG6" s="126"/>
      <c r="AH6" s="126"/>
      <c r="AI6" s="126"/>
      <c r="AJ6" s="126"/>
      <c r="AK6" s="131"/>
      <c r="AL6" s="125"/>
      <c r="AM6" s="125"/>
    </row>
    <row r="7" spans="1:39" ht="15" customHeight="1" thickBot="1">
      <c r="A7" s="3"/>
      <c r="B7" s="5"/>
      <c r="C7" s="7" t="s">
        <v>5</v>
      </c>
      <c r="D7" s="16">
        <v>4</v>
      </c>
      <c r="E7" s="12" t="s">
        <v>3</v>
      </c>
      <c r="F7" s="17">
        <v>9</v>
      </c>
      <c r="G7" s="42" t="s">
        <v>0</v>
      </c>
      <c r="H7" s="24"/>
      <c r="I7" s="24"/>
      <c r="J7" s="24"/>
      <c r="K7" s="24"/>
      <c r="L7" s="24"/>
      <c r="M7" s="24"/>
      <c r="N7" s="24"/>
      <c r="O7" s="24"/>
      <c r="P7" s="24"/>
      <c r="Q7" s="5"/>
      <c r="R7" s="5"/>
      <c r="S7" s="5"/>
      <c r="T7" s="5"/>
      <c r="U7" s="5"/>
      <c r="V7" s="5"/>
      <c r="W7" s="5"/>
      <c r="X7" s="5"/>
      <c r="Y7" s="5"/>
      <c r="Z7" s="3"/>
      <c r="AA7" s="125"/>
      <c r="AB7" s="125"/>
      <c r="AC7" s="125"/>
      <c r="AD7" s="125"/>
      <c r="AE7" s="132"/>
      <c r="AF7" s="126"/>
      <c r="AG7" s="126"/>
      <c r="AH7" s="126"/>
      <c r="AI7" s="126"/>
      <c r="AJ7" s="126"/>
      <c r="AK7" s="131"/>
      <c r="AL7" s="125"/>
      <c r="AM7" s="125"/>
    </row>
    <row r="8" spans="1:39" ht="12.75" customHeight="1" thickBot="1">
      <c r="A8" s="3"/>
      <c r="B8" s="5"/>
      <c r="C8" s="7"/>
      <c r="D8" s="7"/>
      <c r="E8" s="7"/>
      <c r="F8" s="7"/>
      <c r="G8" s="8"/>
      <c r="H8" s="5"/>
      <c r="I8" s="43"/>
      <c r="J8" s="43"/>
      <c r="K8" s="43"/>
      <c r="L8" s="43"/>
      <c r="M8" s="4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39" ht="21" customHeight="1">
      <c r="A9" s="3"/>
      <c r="B9" s="95"/>
      <c r="C9" s="96"/>
      <c r="D9" s="97" t="s">
        <v>38</v>
      </c>
      <c r="E9" s="76" t="s">
        <v>29</v>
      </c>
      <c r="F9" s="38"/>
      <c r="G9" s="39"/>
      <c r="H9" s="42"/>
      <c r="I9" s="40" t="s">
        <v>40</v>
      </c>
      <c r="J9" s="38"/>
      <c r="K9" s="38"/>
      <c r="L9" s="38"/>
      <c r="M9" s="38"/>
      <c r="N9" s="113"/>
      <c r="O9" s="38" t="s">
        <v>42</v>
      </c>
      <c r="P9" s="38"/>
      <c r="Q9" s="38"/>
      <c r="R9" s="19"/>
      <c r="S9" s="19"/>
      <c r="T9" s="19"/>
      <c r="U9" s="19"/>
      <c r="V9" s="19"/>
      <c r="W9" s="114">
        <f>K13</f>
        <v>2</v>
      </c>
      <c r="X9" s="24"/>
      <c r="Y9" s="5"/>
      <c r="Z9" s="3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</row>
    <row r="10" spans="1:39" ht="21" customHeight="1">
      <c r="A10" s="3"/>
      <c r="B10" s="98" t="s">
        <v>32</v>
      </c>
      <c r="C10" s="84">
        <f>F5</f>
        <v>3</v>
      </c>
      <c r="D10" s="77" t="s">
        <v>30</v>
      </c>
      <c r="E10" s="79">
        <f>D5</f>
        <v>1</v>
      </c>
      <c r="F10" s="80" t="s">
        <v>31</v>
      </c>
      <c r="G10" s="81" t="s">
        <v>34</v>
      </c>
      <c r="H10" s="89" t="s">
        <v>36</v>
      </c>
      <c r="I10" s="78">
        <f>-F5</f>
        <v>-3</v>
      </c>
      <c r="J10" s="77" t="s">
        <v>35</v>
      </c>
      <c r="K10" s="79">
        <f>D5</f>
        <v>1</v>
      </c>
      <c r="L10" s="80" t="s">
        <v>22</v>
      </c>
      <c r="M10" s="88" t="s">
        <v>34</v>
      </c>
      <c r="N10" s="110"/>
      <c r="O10" s="84">
        <f>F5</f>
        <v>3</v>
      </c>
      <c r="P10" s="77" t="s">
        <v>8</v>
      </c>
      <c r="Q10" s="107">
        <f>D7</f>
        <v>4</v>
      </c>
      <c r="R10" s="80" t="s">
        <v>41</v>
      </c>
      <c r="S10" s="85" t="s">
        <v>34</v>
      </c>
      <c r="T10" s="84"/>
      <c r="U10" s="77"/>
      <c r="V10" s="79"/>
      <c r="W10" s="115"/>
      <c r="X10" s="85"/>
      <c r="Y10" s="61"/>
      <c r="Z10" s="3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</row>
    <row r="11" spans="1:39" ht="21" customHeight="1">
      <c r="A11" s="3"/>
      <c r="B11" s="98" t="s">
        <v>33</v>
      </c>
      <c r="C11" s="86">
        <v>9</v>
      </c>
      <c r="D11" s="77" t="s">
        <v>30</v>
      </c>
      <c r="E11" s="83">
        <f>D7</f>
        <v>4</v>
      </c>
      <c r="F11" s="80" t="s">
        <v>31</v>
      </c>
      <c r="G11" s="81" t="s">
        <v>34</v>
      </c>
      <c r="H11" s="94"/>
      <c r="I11" s="102">
        <f>F7</f>
        <v>9</v>
      </c>
      <c r="J11" s="90" t="s">
        <v>30</v>
      </c>
      <c r="K11" s="91">
        <f>D7</f>
        <v>4</v>
      </c>
      <c r="L11" s="92" t="s">
        <v>31</v>
      </c>
      <c r="M11" s="93" t="s">
        <v>34</v>
      </c>
      <c r="N11" s="111"/>
      <c r="O11" s="84">
        <f>F5</f>
        <v>3</v>
      </c>
      <c r="P11" s="77" t="s">
        <v>8</v>
      </c>
      <c r="Q11" s="107">
        <f>D5</f>
        <v>1</v>
      </c>
      <c r="R11" s="80" t="s">
        <v>25</v>
      </c>
      <c r="S11" s="108">
        <f>W9</f>
        <v>2</v>
      </c>
      <c r="T11" s="109" t="s">
        <v>31</v>
      </c>
      <c r="U11" s="77"/>
      <c r="V11" s="82" t="s">
        <v>34</v>
      </c>
      <c r="W11" s="115"/>
      <c r="X11" s="24"/>
      <c r="Y11" s="5"/>
      <c r="Z11" s="3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</row>
    <row r="12" spans="1:39" ht="17.25" customHeight="1">
      <c r="A12" s="3"/>
      <c r="B12" s="99"/>
      <c r="C12" s="24"/>
      <c r="D12" s="24"/>
      <c r="E12" s="24"/>
      <c r="F12" s="24"/>
      <c r="G12" s="100"/>
      <c r="H12" s="94"/>
      <c r="I12" s="104">
        <f>I10+I11</f>
        <v>6</v>
      </c>
      <c r="J12" s="57" t="s">
        <v>8</v>
      </c>
      <c r="K12" s="105">
        <f>-K10+K11</f>
        <v>3</v>
      </c>
      <c r="L12" s="106" t="s">
        <v>37</v>
      </c>
      <c r="M12" s="24"/>
      <c r="N12" s="112"/>
      <c r="O12" s="84">
        <f>F5</f>
        <v>3</v>
      </c>
      <c r="P12" s="77" t="s">
        <v>8</v>
      </c>
      <c r="Q12" s="24">
        <f>Q11*S11</f>
        <v>2</v>
      </c>
      <c r="R12" s="24"/>
      <c r="S12" s="24"/>
      <c r="T12" s="109" t="s">
        <v>31</v>
      </c>
      <c r="U12" s="77"/>
      <c r="V12" s="82" t="s">
        <v>34</v>
      </c>
      <c r="W12" s="100"/>
      <c r="X12" s="24"/>
      <c r="Y12" s="5"/>
      <c r="Z12" s="3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</row>
    <row r="13" spans="1:39" ht="16.5" customHeight="1" thickBot="1">
      <c r="A13" s="3"/>
      <c r="B13" s="99"/>
      <c r="C13" s="24"/>
      <c r="D13" s="24"/>
      <c r="E13" s="24"/>
      <c r="F13" s="24"/>
      <c r="G13" s="100"/>
      <c r="H13" s="94"/>
      <c r="I13" s="150" t="str">
        <f>L12</f>
        <v>a</v>
      </c>
      <c r="J13" s="151" t="s">
        <v>8</v>
      </c>
      <c r="K13" s="108">
        <f>I12/K12</f>
        <v>2</v>
      </c>
      <c r="L13" s="25"/>
      <c r="M13" s="25"/>
      <c r="N13" s="116"/>
      <c r="O13" s="25"/>
      <c r="P13" s="117" t="s">
        <v>34</v>
      </c>
      <c r="Q13" s="103" t="s">
        <v>8</v>
      </c>
      <c r="R13" s="118">
        <f>F5-W9*D5</f>
        <v>1</v>
      </c>
      <c r="S13" s="25"/>
      <c r="T13" s="25"/>
      <c r="U13" s="25"/>
      <c r="V13" s="25"/>
      <c r="W13" s="23"/>
      <c r="X13" s="24"/>
      <c r="Y13" s="5"/>
      <c r="Z13" s="3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</row>
    <row r="14" spans="1:39" ht="18" customHeight="1" thickBot="1">
      <c r="A14" s="3"/>
      <c r="B14" s="804" t="s">
        <v>43</v>
      </c>
      <c r="C14" s="805"/>
      <c r="D14" s="805"/>
      <c r="E14" s="805"/>
      <c r="F14" s="805"/>
      <c r="G14" s="805"/>
      <c r="H14" s="805"/>
      <c r="I14" s="805"/>
      <c r="J14" s="805"/>
      <c r="K14" s="806"/>
      <c r="L14" s="51"/>
      <c r="M14" s="51"/>
      <c r="N14" s="24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3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</row>
    <row r="15" spans="1:39" ht="13.5" customHeight="1">
      <c r="A15" s="3"/>
      <c r="B15" s="152" t="str">
        <f>IF(D7-D5=0,CONCATENATE("x=",D5),CONCATENATE(" Resposta final: A equação da reta que passo pelos pontos A e B é y=", H27, J27,L27))</f>
        <v xml:space="preserve"> Resposta final: A equação da reta que passo pelos pontos A e B é y=2x +1</v>
      </c>
      <c r="C15" s="24"/>
      <c r="D15" s="24"/>
      <c r="E15" s="24"/>
      <c r="F15" s="24"/>
      <c r="G15" s="24"/>
      <c r="H15" s="24"/>
      <c r="I15" s="24"/>
      <c r="J15" s="51"/>
      <c r="K15" s="100"/>
      <c r="L15" s="24"/>
      <c r="M15" s="95" t="s">
        <v>44</v>
      </c>
      <c r="N15" s="19"/>
      <c r="O15" s="19"/>
      <c r="P15" s="19"/>
      <c r="Q15" s="19"/>
      <c r="R15" s="19"/>
      <c r="S15" s="19"/>
      <c r="T15" s="19"/>
      <c r="U15" s="140"/>
      <c r="V15" s="19"/>
      <c r="W15" s="19"/>
      <c r="X15" s="19"/>
      <c r="Y15" s="20"/>
      <c r="Z15" s="3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</row>
    <row r="16" spans="1:39" ht="15.75" customHeight="1" thickBot="1">
      <c r="A16" s="3"/>
      <c r="B16" s="101" t="s">
        <v>45</v>
      </c>
      <c r="C16" s="25"/>
      <c r="D16" s="25"/>
      <c r="E16" s="25"/>
      <c r="F16" s="25"/>
      <c r="G16" s="25"/>
      <c r="H16" s="25"/>
      <c r="I16" s="25"/>
      <c r="J16" s="25"/>
      <c r="K16" s="23"/>
      <c r="L16" s="68"/>
      <c r="M16" s="141" t="s">
        <v>1</v>
      </c>
      <c r="N16" s="138"/>
      <c r="O16" s="136" t="str">
        <f>IF(D7-D5=0,CONCATENATE("x=",D5),CONCATENATE("y = ", H27, J27,L27))</f>
        <v>y = 2x +1</v>
      </c>
      <c r="P16" s="137"/>
      <c r="Q16" s="24"/>
      <c r="R16" s="119"/>
      <c r="S16" s="50"/>
      <c r="T16" s="119"/>
      <c r="U16" s="50"/>
      <c r="V16" s="24"/>
      <c r="W16" s="24"/>
      <c r="X16" s="24"/>
      <c r="Y16" s="100"/>
      <c r="Z16" s="3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</row>
    <row r="17" spans="1:39" ht="13.5" customHeight="1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50"/>
      <c r="M17" s="142">
        <f>D5-(D7-D5)</f>
        <v>-2</v>
      </c>
      <c r="N17" s="139"/>
      <c r="O17" s="133">
        <f>IF(D7=D5,F5-(F7-F5),(F7-F5)/(D7-D5)*M17+F5 -(F7-F5)/(D7-D5)*D5)</f>
        <v>-3</v>
      </c>
      <c r="P17" s="120"/>
      <c r="Q17" s="24"/>
      <c r="R17" s="24"/>
      <c r="S17" s="68"/>
      <c r="T17" s="24"/>
      <c r="U17" s="68"/>
      <c r="V17" s="119"/>
      <c r="W17" s="119"/>
      <c r="X17" s="24"/>
      <c r="Y17" s="100"/>
      <c r="Z17" s="3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</row>
    <row r="18" spans="1:39" ht="15.75" customHeight="1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48"/>
      <c r="M18" s="143">
        <f>D5</f>
        <v>1</v>
      </c>
      <c r="N18" s="87"/>
      <c r="O18" s="134">
        <f>F5</f>
        <v>3</v>
      </c>
      <c r="P18" s="121"/>
      <c r="Q18" s="24"/>
      <c r="R18" s="119"/>
      <c r="S18" s="50"/>
      <c r="T18" s="119"/>
      <c r="U18" s="50"/>
      <c r="V18" s="24"/>
      <c r="W18" s="24"/>
      <c r="X18" s="24"/>
      <c r="Y18" s="100"/>
      <c r="Z18" s="3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</row>
    <row r="19" spans="1:39" ht="15" customHeight="1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50"/>
      <c r="M19" s="144">
        <f>D7</f>
        <v>4</v>
      </c>
      <c r="N19" s="87"/>
      <c r="O19" s="135">
        <f>F7</f>
        <v>9</v>
      </c>
      <c r="P19" s="122"/>
      <c r="Q19" s="24"/>
      <c r="R19" s="24"/>
      <c r="S19" s="68"/>
      <c r="T19" s="24"/>
      <c r="U19" s="68"/>
      <c r="V19" s="24"/>
      <c r="W19" s="24"/>
      <c r="X19" s="24"/>
      <c r="Y19" s="100"/>
      <c r="Z19" s="3"/>
    </row>
    <row r="20" spans="1:39" ht="25.5" customHeight="1" thickBot="1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48"/>
      <c r="M20" s="145">
        <f>M19-M18+M19</f>
        <v>7</v>
      </c>
      <c r="N20" s="146"/>
      <c r="O20" s="147">
        <f>IF(M19=M18,O19-O18+O18,(O19-O18)/(M19-M18)*M20+O18-(O19-O18)/(M19-M18)*M18)</f>
        <v>15</v>
      </c>
      <c r="P20" s="148"/>
      <c r="Q20" s="25"/>
      <c r="R20" s="149"/>
      <c r="S20" s="149"/>
      <c r="T20" s="149"/>
      <c r="U20" s="149"/>
      <c r="V20" s="25"/>
      <c r="W20" s="25"/>
      <c r="X20" s="25"/>
      <c r="Y20" s="23"/>
      <c r="Z20" s="3"/>
    </row>
    <row r="21" spans="1:39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7" spans="1:39" ht="19.5" customHeight="1">
      <c r="E27" s="123"/>
      <c r="F27" s="123"/>
      <c r="G27" s="123"/>
      <c r="H27" s="124" t="str">
        <f>IF((F7-F5)/(D7-D5)=1,"x",IF((F7-F5)/(D7-D5)=-1,"- x ",IF((F7-F5)/(D7-D5)=0,"",CONCATENATE(ROUND((F7-F5)/(D7-D5),3),"x"))))</f>
        <v>2x</v>
      </c>
      <c r="I27" s="123"/>
      <c r="J27" s="123" t="str">
        <f>IF(O18-M18*(F7-F5)/(D7-D5)&lt;0," - ",IF(O18-(F7-F5)/(D7-D5)*M18=0,"",IF((F7-F5)/(D7-D5)=0,""," +")))</f>
        <v xml:space="preserve"> +</v>
      </c>
      <c r="K27" s="123"/>
      <c r="L27" s="123">
        <f>IF(ABS(O18-(F7-F5)/(D7-D5)*M18)=0,"",ABS(O18-(F7-F5)/(D7-D5)*M18))</f>
        <v>1</v>
      </c>
      <c r="M27" s="123"/>
      <c r="N27" s="123"/>
    </row>
  </sheetData>
  <mergeCells count="2">
    <mergeCell ref="C3:X3"/>
    <mergeCell ref="B14:K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K124"/>
  <sheetViews>
    <sheetView topLeftCell="A2" zoomScale="85" zoomScaleNormal="85" workbookViewId="0">
      <selection activeCell="E12" sqref="E12"/>
    </sheetView>
  </sheetViews>
  <sheetFormatPr defaultColWidth="9.109375" defaultRowHeight="13.2"/>
  <cols>
    <col min="1" max="1" width="2.6640625" style="349" customWidth="1"/>
    <col min="2" max="2" width="25.109375" style="353" customWidth="1"/>
    <col min="3" max="3" width="26.6640625" style="353" customWidth="1"/>
    <col min="4" max="4" width="18.44140625" style="353" customWidth="1"/>
    <col min="5" max="10" width="7.88671875" style="353" customWidth="1"/>
    <col min="11" max="11" width="2.33203125" style="349" customWidth="1"/>
    <col min="12" max="37" width="9.109375" style="357"/>
    <col min="38" max="16384" width="9.109375" style="353"/>
  </cols>
  <sheetData>
    <row r="1" spans="1:11" ht="15.6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6">
      <c r="A2" s="3"/>
      <c r="B2" s="350" t="s">
        <v>77</v>
      </c>
      <c r="C2" s="351"/>
      <c r="D2" s="351"/>
      <c r="E2" s="352" t="s">
        <v>78</v>
      </c>
      <c r="F2" s="351"/>
      <c r="G2" s="351"/>
      <c r="H2" s="351"/>
      <c r="I2" s="351"/>
      <c r="J2" s="351"/>
      <c r="K2" s="3"/>
    </row>
    <row r="3" spans="1:11" ht="15.6">
      <c r="A3" s="3"/>
      <c r="B3" s="351" t="s">
        <v>79</v>
      </c>
      <c r="C3" s="351"/>
      <c r="D3" s="351"/>
      <c r="E3" s="351"/>
      <c r="F3" s="351"/>
      <c r="G3" s="351"/>
      <c r="H3" s="351"/>
      <c r="I3" s="351"/>
      <c r="J3" s="351"/>
      <c r="K3" s="3"/>
    </row>
    <row r="4" spans="1:11" ht="16.2" thickBot="1">
      <c r="A4" s="3"/>
      <c r="B4" s="354" t="s">
        <v>80</v>
      </c>
      <c r="C4" s="354" t="s">
        <v>81</v>
      </c>
      <c r="D4" s="351"/>
      <c r="E4" s="351"/>
      <c r="F4" s="351"/>
      <c r="G4" s="351"/>
      <c r="H4" s="351"/>
      <c r="I4" s="351"/>
      <c r="J4" s="351"/>
      <c r="K4" s="3"/>
    </row>
    <row r="5" spans="1:11" ht="16.2" thickBot="1">
      <c r="A5" s="3"/>
      <c r="B5" s="355">
        <v>50</v>
      </c>
      <c r="C5" s="355">
        <v>1050</v>
      </c>
      <c r="D5" s="351"/>
      <c r="E5" s="350" t="s">
        <v>82</v>
      </c>
      <c r="F5" s="351"/>
      <c r="G5" s="351"/>
      <c r="H5" s="351"/>
      <c r="I5" s="351"/>
      <c r="J5" s="351"/>
      <c r="K5" s="3"/>
    </row>
    <row r="6" spans="1:11" ht="16.2" thickBot="1">
      <c r="A6" s="3"/>
      <c r="B6" s="355">
        <v>100</v>
      </c>
      <c r="C6" s="355">
        <v>1425</v>
      </c>
      <c r="D6" s="351"/>
      <c r="E6" s="351"/>
      <c r="F6" s="351"/>
      <c r="G6" s="351"/>
      <c r="H6" s="351"/>
      <c r="I6" s="351"/>
      <c r="J6" s="351"/>
      <c r="K6" s="3"/>
    </row>
    <row r="7" spans="1:11" ht="2.25" customHeight="1">
      <c r="A7" s="3"/>
      <c r="B7" s="356">
        <f>(C6-C5)/(B6-B5)</f>
        <v>7.5</v>
      </c>
      <c r="C7" s="356">
        <f>(C5-B7*B5)</f>
        <v>675</v>
      </c>
      <c r="D7" s="356"/>
      <c r="E7" s="356"/>
      <c r="F7" s="356"/>
      <c r="G7" s="356"/>
      <c r="H7" s="356"/>
      <c r="I7" s="356"/>
      <c r="J7" s="356"/>
      <c r="K7" s="3"/>
    </row>
    <row r="8" spans="1:11" ht="2.25" customHeight="1">
      <c r="A8" s="3"/>
      <c r="B8" s="356">
        <f>IF(B7=1,"",IF(B7=-1,"-",B7))</f>
        <v>7.5</v>
      </c>
      <c r="C8" s="356" t="str">
        <f>IF(C7&gt;0," + ",IF(C7=0,""," - "))</f>
        <v xml:space="preserve"> + </v>
      </c>
      <c r="D8" s="356">
        <f>IF(C7=0,"",ABS(C7))</f>
        <v>675</v>
      </c>
      <c r="E8" s="356"/>
      <c r="F8" s="356"/>
      <c r="G8" s="356"/>
      <c r="H8" s="356"/>
      <c r="I8" s="356"/>
      <c r="J8" s="356"/>
      <c r="K8" s="3"/>
    </row>
    <row r="9" spans="1:11" ht="2.25" customHeight="1">
      <c r="A9" s="3"/>
      <c r="B9" s="356">
        <f>(C6/C5)^(1/(B6-B5))</f>
        <v>1.0061263226118076</v>
      </c>
      <c r="C9" s="356">
        <f>C5/(B9^B5)</f>
        <v>773.68421052631504</v>
      </c>
      <c r="D9" s="356"/>
      <c r="E9" s="356"/>
      <c r="F9" s="356"/>
      <c r="G9" s="356"/>
      <c r="H9" s="356"/>
      <c r="I9" s="356"/>
      <c r="J9" s="356"/>
      <c r="K9" s="3"/>
    </row>
    <row r="10" spans="1:11" ht="2.25" customHeight="1">
      <c r="A10" s="3"/>
      <c r="B10" s="351"/>
      <c r="C10" s="351"/>
      <c r="D10" s="351"/>
      <c r="E10" s="351"/>
      <c r="F10" s="351"/>
      <c r="G10" s="351"/>
      <c r="H10" s="351"/>
      <c r="I10" s="351"/>
      <c r="J10" s="351"/>
      <c r="K10" s="3"/>
    </row>
    <row r="11" spans="1:11" ht="15.6">
      <c r="A11" s="3"/>
      <c r="B11" s="351" t="s">
        <v>83</v>
      </c>
      <c r="C11" s="351"/>
      <c r="D11" s="351"/>
      <c r="E11" s="351"/>
      <c r="F11" s="351"/>
      <c r="G11" s="351"/>
      <c r="H11" s="351"/>
      <c r="I11" s="351"/>
      <c r="J11" s="351"/>
      <c r="K11" s="3"/>
    </row>
    <row r="12" spans="1:11" ht="15.6">
      <c r="A12" s="3"/>
      <c r="B12" s="350" t="str">
        <f>CONCATENATE("Grafico da reta que passa pelos pontos  (",B5,",  ",C5," )  e  (",B6,",  ", C6,")")</f>
        <v>Grafico da reta que passa pelos pontos  (50,  1050 )  e  (100,  1425)</v>
      </c>
      <c r="C12" s="351"/>
      <c r="D12" s="351"/>
      <c r="E12" s="351"/>
      <c r="F12" s="351"/>
      <c r="G12" s="351"/>
      <c r="H12" s="351"/>
      <c r="I12" s="351"/>
      <c r="J12" s="351"/>
      <c r="K12" s="3"/>
    </row>
    <row r="13" spans="1:11" ht="15.6">
      <c r="A13" s="3"/>
      <c r="B13" s="350"/>
      <c r="C13" s="351"/>
      <c r="D13" s="351"/>
      <c r="E13" s="351"/>
      <c r="F13" s="351"/>
      <c r="G13" s="351"/>
      <c r="H13" s="351"/>
      <c r="I13" s="351"/>
      <c r="J13" s="351"/>
      <c r="K13" s="3"/>
    </row>
    <row r="14" spans="1:11" ht="15.6">
      <c r="A14" s="3"/>
      <c r="B14" s="350"/>
      <c r="C14" s="351"/>
      <c r="D14" s="351"/>
      <c r="E14" s="351"/>
      <c r="F14" s="351"/>
      <c r="G14" s="351"/>
      <c r="H14" s="351"/>
      <c r="I14" s="351"/>
      <c r="J14" s="351"/>
      <c r="K14" s="3"/>
    </row>
    <row r="15" spans="1:11" ht="15.6">
      <c r="A15" s="3"/>
      <c r="B15" s="350"/>
      <c r="C15" s="351"/>
      <c r="D15" s="351"/>
      <c r="E15" s="351"/>
      <c r="F15" s="351"/>
      <c r="G15" s="351"/>
      <c r="H15" s="351"/>
      <c r="I15" s="351"/>
      <c r="J15" s="351"/>
      <c r="K15" s="3"/>
    </row>
    <row r="16" spans="1:11" ht="15.6">
      <c r="A16" s="3"/>
      <c r="B16" s="350"/>
      <c r="C16" s="351"/>
      <c r="D16" s="351"/>
      <c r="E16" s="351"/>
      <c r="F16" s="351"/>
      <c r="G16" s="351"/>
      <c r="H16" s="351"/>
      <c r="I16" s="351"/>
      <c r="J16" s="351"/>
      <c r="K16" s="3"/>
    </row>
    <row r="17" spans="1:11" ht="87.75" customHeight="1">
      <c r="A17" s="3"/>
      <c r="B17" s="351"/>
      <c r="C17" s="351"/>
      <c r="D17" s="351"/>
      <c r="E17" s="351"/>
      <c r="F17" s="351"/>
      <c r="G17" s="351"/>
      <c r="H17" s="351"/>
      <c r="I17" s="351"/>
      <c r="J17" s="351"/>
      <c r="K17" s="3"/>
    </row>
    <row r="18" spans="1:11" ht="40.5" customHeight="1">
      <c r="A18" s="3"/>
      <c r="B18" s="351"/>
      <c r="C18" s="351"/>
      <c r="D18" s="351"/>
      <c r="E18" s="350" t="s">
        <v>84</v>
      </c>
      <c r="F18" s="351"/>
      <c r="G18" s="351"/>
      <c r="H18" s="351"/>
      <c r="I18" s="351"/>
      <c r="J18" s="351"/>
      <c r="K18" s="3"/>
    </row>
    <row r="19" spans="1:11" ht="15.6">
      <c r="A19" s="3"/>
      <c r="B19" s="351" t="s">
        <v>85</v>
      </c>
      <c r="C19" s="351"/>
      <c r="D19" s="351"/>
      <c r="E19" s="351"/>
      <c r="F19" s="351"/>
      <c r="G19" s="351"/>
      <c r="H19" s="351"/>
      <c r="I19" s="351"/>
      <c r="J19" s="351"/>
      <c r="K19" s="3"/>
    </row>
    <row r="20" spans="1:11" ht="15.6">
      <c r="A20" s="3"/>
      <c r="B20" s="432" t="str">
        <f>CONCATENATE("y=",TRUNC(B8,2),"x ",C8," ",D8)</f>
        <v>y=7,5x  +  675</v>
      </c>
      <c r="D20" s="351"/>
      <c r="F20" s="351"/>
      <c r="G20" s="351"/>
      <c r="H20" s="351"/>
      <c r="I20" s="351"/>
      <c r="J20" s="351"/>
      <c r="K20" s="3"/>
    </row>
    <row r="21" spans="1:11" ht="15.6">
      <c r="A21" s="3"/>
      <c r="B21" s="432"/>
      <c r="C21" s="432"/>
      <c r="D21" s="351"/>
      <c r="E21" s="351"/>
      <c r="F21" s="351"/>
      <c r="G21" s="351"/>
      <c r="H21" s="351"/>
      <c r="I21" s="351"/>
      <c r="J21" s="351"/>
      <c r="K21" s="3"/>
    </row>
    <row r="22" spans="1:11" ht="15.6">
      <c r="A22" s="3"/>
      <c r="B22" s="433"/>
      <c r="C22" s="433"/>
      <c r="D22" s="351"/>
      <c r="E22" s="351"/>
      <c r="F22" s="351"/>
      <c r="G22" s="351"/>
      <c r="H22" s="351"/>
      <c r="I22" s="351"/>
      <c r="J22" s="351"/>
      <c r="K22" s="3"/>
    </row>
    <row r="23" spans="1:11" ht="15.6">
      <c r="A23" s="3"/>
      <c r="B23" s="433"/>
      <c r="C23" s="433"/>
      <c r="D23" s="351"/>
      <c r="E23" s="350"/>
      <c r="F23" s="351"/>
      <c r="G23" s="351"/>
      <c r="H23" s="351"/>
      <c r="I23" s="351"/>
      <c r="J23" s="351"/>
      <c r="K23" s="3"/>
    </row>
    <row r="24" spans="1:11" ht="13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357" customFormat="1" ht="15.6">
      <c r="D25" s="358"/>
      <c r="F25" s="358"/>
      <c r="G25" s="358"/>
      <c r="H25" s="358"/>
      <c r="I25" s="358"/>
      <c r="J25" s="358"/>
    </row>
    <row r="26" spans="1:11" s="357" customFormat="1" ht="15.6">
      <c r="B26" s="358"/>
      <c r="C26" s="358"/>
      <c r="D26" s="358"/>
      <c r="E26" s="358"/>
      <c r="F26" s="358"/>
      <c r="G26" s="358"/>
      <c r="H26" s="358"/>
      <c r="I26" s="358"/>
      <c r="J26" s="358"/>
    </row>
    <row r="27" spans="1:11" s="357" customFormat="1"/>
    <row r="28" spans="1:11" s="357" customFormat="1"/>
    <row r="29" spans="1:11" s="357" customFormat="1"/>
    <row r="30" spans="1:11" s="357" customFormat="1"/>
    <row r="31" spans="1:11" s="357" customFormat="1"/>
    <row r="32" spans="1:11" s="357" customFormat="1"/>
    <row r="33" s="357" customFormat="1"/>
    <row r="34" s="357" customFormat="1"/>
    <row r="35" s="357" customFormat="1"/>
    <row r="36" s="357" customFormat="1"/>
    <row r="37" s="357" customFormat="1"/>
    <row r="38" s="357" customFormat="1"/>
    <row r="39" s="357" customFormat="1"/>
    <row r="40" s="357" customFormat="1"/>
    <row r="41" s="357" customFormat="1"/>
    <row r="42" s="357" customFormat="1"/>
    <row r="43" s="357" customFormat="1"/>
    <row r="44" s="357" customFormat="1"/>
    <row r="45" s="357" customFormat="1"/>
    <row r="46" s="357" customFormat="1"/>
    <row r="47" s="357" customFormat="1"/>
    <row r="48" s="357" customFormat="1"/>
    <row r="49" s="357" customFormat="1"/>
    <row r="50" s="357" customFormat="1"/>
    <row r="51" s="357" customFormat="1"/>
    <row r="52" s="357" customFormat="1"/>
    <row r="53" s="357" customFormat="1"/>
    <row r="54" s="357" customFormat="1"/>
    <row r="55" s="357" customFormat="1"/>
    <row r="56" s="357" customFormat="1"/>
    <row r="57" s="357" customFormat="1"/>
    <row r="58" s="357" customFormat="1"/>
    <row r="59" s="357" customFormat="1"/>
    <row r="60" s="357" customFormat="1"/>
    <row r="61" s="357" customFormat="1"/>
    <row r="62" s="357" customFormat="1"/>
    <row r="63" s="357" customFormat="1"/>
    <row r="64" s="357" customFormat="1"/>
    <row r="65" s="357" customFormat="1"/>
    <row r="66" s="357" customFormat="1"/>
    <row r="67" s="357" customFormat="1"/>
    <row r="68" s="357" customFormat="1"/>
    <row r="69" s="357" customFormat="1"/>
    <row r="70" s="357" customFormat="1"/>
    <row r="71" s="357" customFormat="1"/>
    <row r="72" s="357" customFormat="1"/>
    <row r="73" s="357" customFormat="1"/>
    <row r="74" s="357" customFormat="1"/>
    <row r="75" s="357" customFormat="1"/>
    <row r="76" s="357" customFormat="1"/>
    <row r="77" s="357" customFormat="1"/>
    <row r="78" s="357" customFormat="1"/>
    <row r="79" s="357" customFormat="1"/>
    <row r="80" s="357" customFormat="1"/>
    <row r="81" s="357" customFormat="1"/>
    <row r="82" s="357" customFormat="1"/>
    <row r="83" s="357" customFormat="1"/>
    <row r="84" s="357" customFormat="1"/>
    <row r="85" s="357" customFormat="1"/>
    <row r="86" s="357" customFormat="1"/>
    <row r="87" s="357" customFormat="1"/>
    <row r="88" s="357" customFormat="1"/>
    <row r="89" s="357" customFormat="1"/>
    <row r="90" s="357" customFormat="1"/>
    <row r="91" s="357" customFormat="1"/>
    <row r="92" s="357" customFormat="1"/>
    <row r="93" s="357" customFormat="1"/>
    <row r="94" s="357" customFormat="1"/>
    <row r="95" s="357" customFormat="1"/>
    <row r="96" s="357" customFormat="1"/>
    <row r="97" s="357" customFormat="1"/>
    <row r="98" s="357" customFormat="1"/>
    <row r="99" s="357" customFormat="1"/>
    <row r="100" s="357" customFormat="1"/>
    <row r="101" s="357" customFormat="1"/>
    <row r="102" s="357" customFormat="1"/>
    <row r="103" s="357" customFormat="1"/>
    <row r="104" s="357" customFormat="1"/>
    <row r="105" s="357" customFormat="1"/>
    <row r="106" s="357" customFormat="1"/>
    <row r="107" s="357" customFormat="1"/>
    <row r="108" s="357" customFormat="1"/>
    <row r="109" s="357" customFormat="1"/>
    <row r="110" s="357" customFormat="1"/>
    <row r="111" s="357" customFormat="1"/>
    <row r="112" s="357" customFormat="1"/>
    <row r="113" s="357" customFormat="1"/>
    <row r="114" s="357" customFormat="1"/>
    <row r="115" s="357" customFormat="1"/>
    <row r="116" s="357" customFormat="1"/>
    <row r="117" s="357" customFormat="1"/>
    <row r="118" s="357" customFormat="1"/>
    <row r="119" s="357" customFormat="1"/>
    <row r="120" s="357" customFormat="1"/>
    <row r="121" s="357" customFormat="1"/>
    <row r="122" s="357" customFormat="1"/>
    <row r="123" s="357" customFormat="1"/>
    <row r="124" s="357" customFormat="1"/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8"/>
  <sheetViews>
    <sheetView topLeftCell="A3" workbookViewId="0">
      <selection activeCell="O23" sqref="O23"/>
    </sheetView>
  </sheetViews>
  <sheetFormatPr defaultColWidth="9.109375" defaultRowHeight="13.2"/>
  <cols>
    <col min="1" max="1" width="2.88671875" style="348" customWidth="1"/>
    <col min="2" max="2" width="10.109375" style="348" customWidth="1"/>
    <col min="3" max="3" width="9.44140625" style="348" customWidth="1"/>
    <col min="4" max="4" width="1.88671875" style="348" customWidth="1"/>
    <col min="5" max="5" width="7.5546875" style="348" customWidth="1"/>
    <col min="6" max="6" width="1.88671875" style="348" customWidth="1"/>
    <col min="7" max="7" width="6.109375" style="348" customWidth="1"/>
    <col min="8" max="8" width="9.109375" style="348"/>
    <col min="9" max="9" width="9" style="348" customWidth="1"/>
    <col min="10" max="10" width="11" style="348" customWidth="1"/>
    <col min="11" max="11" width="11.6640625" style="348" customWidth="1"/>
    <col min="12" max="12" width="9" style="348" customWidth="1"/>
    <col min="13" max="13" width="6.6640625" style="348" customWidth="1"/>
    <col min="14" max="14" width="2.5546875" style="348" customWidth="1"/>
    <col min="15" max="15" width="6.6640625" style="348" customWidth="1"/>
    <col min="16" max="16" width="13" style="348" customWidth="1"/>
    <col min="17" max="17" width="9.6640625" style="348" customWidth="1"/>
    <col min="18" max="18" width="22.5546875" style="348" customWidth="1"/>
    <col min="19" max="19" width="2.6640625" style="348" customWidth="1"/>
    <col min="20" max="23" width="9.109375" style="348"/>
    <col min="24" max="24" width="14.44140625" style="348" customWidth="1"/>
    <col min="25" max="25" width="5.109375" style="348" customWidth="1"/>
    <col min="26" max="16384" width="9.109375" style="348"/>
  </cols>
  <sheetData>
    <row r="1" spans="1:25" ht="15.6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</row>
    <row r="2" spans="1:25" ht="18">
      <c r="A2" s="431"/>
      <c r="B2" s="233" t="str">
        <f>CONCATENATE("Para as questões de 1 a 6 use os pontos: P1 = ( ",Gerador!F5,",  ",Gerador!H5,") e P2 = (", Gerador!F6," ,  ", Gerador!H6," )")</f>
        <v>Para as questões de 1 a 6 use os pontos: P1 = ( 1,  -18) e P2 = (11 ,  72 )</v>
      </c>
      <c r="C2" s="233"/>
      <c r="D2" s="233"/>
      <c r="E2" s="233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31"/>
      <c r="Y2" s="407">
        <f>Gerador!F3</f>
        <v>9</v>
      </c>
    </row>
    <row r="3" spans="1:25" ht="23.25" customHeight="1">
      <c r="A3" s="431"/>
      <c r="B3" s="814" t="s">
        <v>119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431"/>
      <c r="Y3" s="407">
        <f>Gerador!F4</f>
        <v>-27</v>
      </c>
    </row>
    <row r="4" spans="1:25" ht="18.75" customHeight="1">
      <c r="A4" s="431"/>
      <c r="B4" s="814"/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431"/>
      <c r="Y4" s="407">
        <f>-Y2/Y3</f>
        <v>0.33333333333333331</v>
      </c>
    </row>
    <row r="5" spans="1:25" ht="15.75" customHeight="1" thickBot="1">
      <c r="A5" s="431"/>
      <c r="B5" s="233" t="s">
        <v>120</v>
      </c>
      <c r="C5" s="233"/>
      <c r="D5" s="233"/>
      <c r="E5" s="233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9"/>
      <c r="Q5" s="408"/>
      <c r="R5" s="408"/>
      <c r="S5" s="431"/>
    </row>
    <row r="6" spans="1:25" ht="18.600000000000001" thickBot="1">
      <c r="A6" s="431"/>
      <c r="B6" s="233" t="s">
        <v>86</v>
      </c>
      <c r="C6" s="233"/>
      <c r="D6" s="233"/>
      <c r="E6" s="233"/>
      <c r="F6" s="408"/>
      <c r="G6" s="410"/>
      <c r="H6" s="408" t="str">
        <f>IF(G6="","",IF(ABS(G6-Y2)&lt;0.7,"Correto!","Reveja os cálculos"))</f>
        <v/>
      </c>
      <c r="I6" s="408"/>
      <c r="J6" s="233" t="s">
        <v>87</v>
      </c>
      <c r="K6" s="408"/>
      <c r="L6" s="410"/>
      <c r="M6" s="408" t="str">
        <f>IF(G6="","",IF(ABS(L6-Y3)&lt;0.7,"Correto!","Reveja os cálculos"))</f>
        <v/>
      </c>
      <c r="N6" s="408"/>
      <c r="O6" s="408"/>
      <c r="P6" s="408"/>
      <c r="Q6" s="408"/>
      <c r="R6" s="408"/>
      <c r="S6" s="431"/>
    </row>
    <row r="7" spans="1:25" ht="3.75" customHeight="1">
      <c r="A7" s="431"/>
      <c r="B7" s="233"/>
      <c r="C7" s="233"/>
      <c r="D7" s="233"/>
      <c r="E7" s="233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31"/>
    </row>
    <row r="8" spans="1:25" ht="36" customHeight="1">
      <c r="A8" s="431"/>
      <c r="B8" s="814" t="s">
        <v>75</v>
      </c>
      <c r="C8" s="814"/>
      <c r="D8" s="814"/>
      <c r="E8" s="814"/>
      <c r="F8" s="814"/>
      <c r="G8" s="814"/>
      <c r="H8" s="814"/>
      <c r="I8" s="814"/>
      <c r="J8" s="814"/>
      <c r="K8" s="814"/>
      <c r="L8" s="814"/>
      <c r="M8" s="814"/>
      <c r="N8" s="814"/>
      <c r="O8" s="814"/>
      <c r="P8" s="814"/>
      <c r="Q8" s="814"/>
      <c r="R8" s="814"/>
      <c r="S8" s="431"/>
    </row>
    <row r="9" spans="1:25" ht="14.25" customHeight="1">
      <c r="A9" s="431"/>
      <c r="B9" s="818" t="s">
        <v>88</v>
      </c>
      <c r="C9" s="818"/>
      <c r="D9" s="818"/>
      <c r="E9" s="818"/>
      <c r="F9" s="818"/>
      <c r="G9" s="818"/>
      <c r="H9" s="818"/>
      <c r="I9" s="411" t="s">
        <v>92</v>
      </c>
      <c r="J9" s="408"/>
      <c r="K9" s="408"/>
      <c r="L9" s="408"/>
      <c r="M9" s="408"/>
      <c r="N9" s="408"/>
      <c r="O9" s="408"/>
      <c r="P9" s="408"/>
      <c r="Q9" s="408"/>
      <c r="R9" s="408"/>
      <c r="S9" s="431"/>
    </row>
    <row r="10" spans="1:25" ht="6" customHeight="1">
      <c r="A10" s="431"/>
      <c r="B10" s="233" t="str">
        <f>IF(G6&lt;&gt;0,CONCATENATE("3) Faça uma tabela para valores de x e y utilizando os seguintes valores para x =  0;    x=2    e    x= ",ROUND(-L6/G6,0),"."),"")</f>
        <v/>
      </c>
      <c r="C10" s="233"/>
      <c r="D10" s="233"/>
      <c r="E10" s="233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31"/>
    </row>
    <row r="11" spans="1:25" ht="13.5" customHeight="1">
      <c r="A11" s="431"/>
      <c r="B11" s="426" t="s">
        <v>89</v>
      </c>
      <c r="C11" s="427" t="s">
        <v>2</v>
      </c>
      <c r="D11" s="424"/>
      <c r="E11" s="424"/>
      <c r="F11" s="424" t="s">
        <v>121</v>
      </c>
      <c r="G11" s="424"/>
      <c r="H11" s="424"/>
      <c r="I11" s="424"/>
      <c r="J11" s="408"/>
      <c r="K11" s="408"/>
      <c r="L11" s="408"/>
      <c r="M11" s="408"/>
      <c r="N11" s="408"/>
      <c r="O11" s="408"/>
      <c r="P11" s="408"/>
      <c r="Q11" s="408"/>
      <c r="R11" s="408"/>
      <c r="S11" s="431"/>
    </row>
    <row r="12" spans="1:25" ht="13.5" customHeight="1">
      <c r="A12" s="431"/>
      <c r="B12" s="428">
        <v>0</v>
      </c>
      <c r="C12" s="429"/>
      <c r="D12" s="424" t="str">
        <f>IF(C12="","",IF(ABS(C12-(G$6*B12+L$6))&lt;1,"Correto!","Refaça os cálculos!"))</f>
        <v/>
      </c>
      <c r="E12" s="424"/>
      <c r="F12" s="819"/>
      <c r="G12" s="819"/>
      <c r="H12" s="819"/>
      <c r="I12" s="819"/>
      <c r="J12" s="408"/>
      <c r="K12" s="408"/>
      <c r="L12" s="408"/>
      <c r="M12" s="408"/>
      <c r="N12" s="408"/>
      <c r="O12" s="408"/>
      <c r="P12" s="408"/>
      <c r="Q12" s="408"/>
      <c r="R12" s="408"/>
      <c r="S12" s="431"/>
    </row>
    <row r="13" spans="1:25" ht="13.5" customHeight="1">
      <c r="A13" s="431"/>
      <c r="B13" s="428">
        <v>2</v>
      </c>
      <c r="C13" s="429"/>
      <c r="D13" s="424" t="str">
        <f>IF(C13="","",IF(ABS(C13-(G$6*B13+L$6))&lt;1,"Correto!","Refaça os cálculos!"))</f>
        <v/>
      </c>
      <c r="E13" s="424"/>
      <c r="F13" s="819"/>
      <c r="G13" s="819"/>
      <c r="H13" s="819"/>
      <c r="I13" s="819"/>
      <c r="J13" s="408"/>
      <c r="K13" s="408"/>
      <c r="L13" s="408"/>
      <c r="M13" s="408"/>
      <c r="N13" s="408"/>
      <c r="O13" s="408"/>
      <c r="P13" s="408"/>
      <c r="Q13" s="408"/>
      <c r="R13" s="408"/>
      <c r="S13" s="431"/>
    </row>
    <row r="14" spans="1:25" ht="13.5" customHeight="1">
      <c r="A14" s="431"/>
      <c r="B14" s="365" t="str">
        <f>IF(G6&lt;&gt;0,-L6/G6,"")</f>
        <v/>
      </c>
      <c r="C14" s="430"/>
      <c r="D14" s="424" t="str">
        <f>IF(C14="","",IF(ABS(C14-(G$6*B14+L$6))&lt;1,"Correto!","Refaça os cálculos!"))</f>
        <v/>
      </c>
      <c r="E14" s="424"/>
      <c r="F14" s="820"/>
      <c r="G14" s="820"/>
      <c r="H14" s="820"/>
      <c r="I14" s="820"/>
      <c r="J14" s="408"/>
      <c r="K14" s="408"/>
      <c r="L14" s="408"/>
      <c r="M14" s="408"/>
      <c r="N14" s="408"/>
      <c r="O14" s="408"/>
      <c r="P14" s="408"/>
      <c r="Q14" s="408"/>
      <c r="R14" s="408"/>
      <c r="S14" s="431"/>
    </row>
    <row r="15" spans="1:25" ht="19.5" customHeight="1">
      <c r="A15" s="431"/>
      <c r="B15" s="425" t="s">
        <v>76</v>
      </c>
      <c r="C15" s="412"/>
      <c r="D15" s="412"/>
      <c r="E15" s="412"/>
      <c r="F15" s="412"/>
      <c r="G15" s="412"/>
      <c r="H15" s="412"/>
      <c r="I15" s="412"/>
      <c r="J15" s="413"/>
      <c r="K15" s="808" t="s">
        <v>93</v>
      </c>
      <c r="L15" s="809"/>
      <c r="M15" s="809"/>
      <c r="N15" s="809"/>
      <c r="O15" s="809"/>
      <c r="P15" s="809"/>
      <c r="Q15" s="809"/>
      <c r="R15" s="810"/>
      <c r="S15" s="431"/>
    </row>
    <row r="16" spans="1:25" ht="15" customHeight="1">
      <c r="A16" s="431"/>
      <c r="B16" s="815" t="s">
        <v>91</v>
      </c>
      <c r="C16" s="816"/>
      <c r="D16" s="816"/>
      <c r="E16" s="816"/>
      <c r="F16" s="816"/>
      <c r="G16" s="816"/>
      <c r="H16" s="816"/>
      <c r="I16" s="816"/>
      <c r="J16" s="817"/>
      <c r="K16" s="811"/>
      <c r="L16" s="812"/>
      <c r="M16" s="812"/>
      <c r="N16" s="812"/>
      <c r="O16" s="812"/>
      <c r="P16" s="812"/>
      <c r="Q16" s="812"/>
      <c r="R16" s="813"/>
      <c r="S16" s="431"/>
    </row>
    <row r="17" spans="1:25" ht="24.75" customHeight="1">
      <c r="A17" s="431"/>
      <c r="B17" s="815"/>
      <c r="C17" s="816"/>
      <c r="D17" s="816"/>
      <c r="E17" s="816"/>
      <c r="F17" s="816"/>
      <c r="G17" s="816"/>
      <c r="H17" s="816"/>
      <c r="I17" s="816"/>
      <c r="J17" s="817"/>
      <c r="L17" s="414" t="s">
        <v>94</v>
      </c>
      <c r="M17" s="415"/>
      <c r="N17" s="416" t="s">
        <v>3</v>
      </c>
      <c r="O17" s="415"/>
      <c r="P17" s="416" t="s">
        <v>0</v>
      </c>
      <c r="Q17" s="416" t="str">
        <f>IF(OR(M17="",O17=""),"",IF(AND(M17=0,O17=L6),"Correto","Errado"))</f>
        <v/>
      </c>
      <c r="R17" s="417"/>
      <c r="S17" s="431"/>
    </row>
    <row r="18" spans="1:25" ht="16.5" customHeight="1">
      <c r="A18" s="431"/>
      <c r="B18" s="815"/>
      <c r="C18" s="816"/>
      <c r="D18" s="816"/>
      <c r="E18" s="816"/>
      <c r="F18" s="816"/>
      <c r="G18" s="816"/>
      <c r="H18" s="816"/>
      <c r="I18" s="816"/>
      <c r="J18" s="816"/>
      <c r="K18" s="808" t="s">
        <v>96</v>
      </c>
      <c r="L18" s="809"/>
      <c r="M18" s="809"/>
      <c r="N18" s="809"/>
      <c r="O18" s="809"/>
      <c r="P18" s="809"/>
      <c r="Q18" s="809"/>
      <c r="R18" s="810"/>
      <c r="S18" s="431"/>
    </row>
    <row r="19" spans="1:25" ht="19.5" customHeight="1">
      <c r="A19" s="431"/>
      <c r="B19" s="418" t="s">
        <v>97</v>
      </c>
      <c r="C19" s="419"/>
      <c r="D19" s="419"/>
      <c r="E19" s="419"/>
      <c r="F19" s="419"/>
      <c r="G19" s="419"/>
      <c r="H19" s="419"/>
      <c r="I19" s="419"/>
      <c r="J19" s="419"/>
      <c r="K19" s="811"/>
      <c r="L19" s="812"/>
      <c r="M19" s="812"/>
      <c r="N19" s="812"/>
      <c r="O19" s="812"/>
      <c r="P19" s="812"/>
      <c r="Q19" s="812"/>
      <c r="R19" s="813"/>
      <c r="S19" s="431"/>
    </row>
    <row r="20" spans="1:25" ht="14.25" customHeight="1">
      <c r="A20" s="431"/>
      <c r="B20" s="420"/>
      <c r="C20" s="419"/>
      <c r="D20" s="419"/>
      <c r="E20" s="419"/>
      <c r="F20" s="419"/>
      <c r="G20" s="419"/>
      <c r="H20" s="419"/>
      <c r="I20" s="419"/>
      <c r="J20" s="419"/>
      <c r="K20" s="420" t="s">
        <v>95</v>
      </c>
      <c r="L20" s="421"/>
      <c r="M20" s="421"/>
      <c r="N20" s="421"/>
      <c r="O20" s="421"/>
      <c r="P20" s="421"/>
      <c r="Q20" s="421"/>
      <c r="R20" s="422"/>
      <c r="S20" s="431"/>
      <c r="W20" s="166"/>
      <c r="X20" s="166"/>
      <c r="Y20" s="166"/>
    </row>
    <row r="21" spans="1:25" ht="17.25" customHeight="1">
      <c r="A21" s="431"/>
      <c r="B21" s="420"/>
      <c r="C21" s="419"/>
      <c r="D21" s="419"/>
      <c r="E21" s="419"/>
      <c r="F21" s="105"/>
      <c r="G21" s="105"/>
      <c r="H21" s="105"/>
      <c r="I21" s="419"/>
      <c r="J21" s="419"/>
      <c r="K21" s="808" t="s">
        <v>118</v>
      </c>
      <c r="L21" s="809"/>
      <c r="M21" s="809"/>
      <c r="N21" s="809"/>
      <c r="O21" s="809"/>
      <c r="P21" s="809"/>
      <c r="Q21" s="809"/>
      <c r="R21" s="810"/>
      <c r="S21" s="431"/>
      <c r="W21" s="166"/>
      <c r="Y21" s="166"/>
    </row>
    <row r="22" spans="1:25" ht="18">
      <c r="A22" s="431"/>
      <c r="B22" s="420"/>
      <c r="C22" s="419"/>
      <c r="D22" s="419"/>
      <c r="E22" s="419"/>
      <c r="F22" s="105"/>
      <c r="G22" s="105"/>
      <c r="H22" s="105"/>
      <c r="I22" s="419"/>
      <c r="J22" s="419"/>
      <c r="K22" s="811"/>
      <c r="L22" s="812"/>
      <c r="M22" s="812"/>
      <c r="N22" s="812"/>
      <c r="O22" s="812"/>
      <c r="P22" s="812"/>
      <c r="Q22" s="812"/>
      <c r="R22" s="813"/>
      <c r="S22" s="431"/>
      <c r="W22" s="166"/>
      <c r="Y22" s="166"/>
    </row>
    <row r="23" spans="1:25" ht="14.25" customHeight="1">
      <c r="A23" s="431"/>
      <c r="B23" s="420"/>
      <c r="C23" s="419"/>
      <c r="D23" s="419"/>
      <c r="E23" s="419"/>
      <c r="F23" s="419"/>
      <c r="G23" s="419"/>
      <c r="H23" s="419"/>
      <c r="I23" s="419"/>
      <c r="J23" s="419"/>
      <c r="K23" s="373"/>
      <c r="L23" s="414" t="s">
        <v>94</v>
      </c>
      <c r="M23" s="415"/>
      <c r="N23" s="416" t="s">
        <v>3</v>
      </c>
      <c r="O23" s="415"/>
      <c r="P23" s="416" t="s">
        <v>0</v>
      </c>
      <c r="Q23" s="416" t="str">
        <f>IF(OR(M23="",O23=""),"",IF(AND(ABS(M23-Y4)&lt;0.5,O23=0),"Correto","Errado"))</f>
        <v/>
      </c>
      <c r="R23" s="417"/>
      <c r="S23" s="431"/>
      <c r="W23" s="166"/>
      <c r="X23" s="166"/>
      <c r="Y23" s="166"/>
    </row>
    <row r="24" spans="1:25" ht="1.5" customHeight="1">
      <c r="A24" s="431"/>
      <c r="B24" s="420"/>
      <c r="C24" s="419"/>
      <c r="D24" s="419"/>
      <c r="E24" s="419"/>
      <c r="F24" s="419"/>
      <c r="G24" s="419"/>
      <c r="H24" s="419"/>
      <c r="I24" s="419"/>
      <c r="J24" s="419"/>
      <c r="K24" s="420"/>
      <c r="L24" s="419"/>
      <c r="M24" s="419"/>
      <c r="N24" s="419"/>
      <c r="O24" s="419"/>
      <c r="P24" s="419"/>
      <c r="Q24" s="419"/>
      <c r="R24" s="423"/>
      <c r="S24" s="431"/>
      <c r="W24" s="166"/>
      <c r="X24" s="166"/>
      <c r="Y24" s="166"/>
    </row>
    <row r="25" spans="1:25" ht="6" hidden="1" customHeight="1">
      <c r="A25" s="431"/>
      <c r="B25" s="373"/>
      <c r="C25" s="371"/>
      <c r="D25" s="371"/>
      <c r="E25" s="371"/>
      <c r="F25" s="371"/>
      <c r="G25" s="371"/>
      <c r="H25" s="371"/>
      <c r="I25" s="371"/>
      <c r="J25" s="371"/>
      <c r="K25" s="370"/>
      <c r="L25" s="371"/>
      <c r="M25" s="371"/>
      <c r="N25" s="371"/>
      <c r="O25" s="371"/>
      <c r="P25" s="371"/>
      <c r="Q25" s="371"/>
      <c r="R25" s="372"/>
      <c r="S25" s="431"/>
      <c r="W25" s="166"/>
      <c r="X25" s="166"/>
      <c r="Y25" s="166"/>
    </row>
    <row r="26" spans="1:25" ht="6" hidden="1" customHeight="1">
      <c r="A26" s="431"/>
      <c r="B26" s="373"/>
      <c r="C26" s="371"/>
      <c r="D26" s="371"/>
      <c r="E26" s="371"/>
      <c r="F26" s="371"/>
      <c r="G26" s="371"/>
      <c r="H26" s="371"/>
      <c r="I26" s="371"/>
      <c r="J26" s="371"/>
      <c r="K26" s="370"/>
      <c r="L26" s="371"/>
      <c r="M26" s="371"/>
      <c r="N26" s="371"/>
      <c r="O26" s="371"/>
      <c r="P26" s="371"/>
      <c r="Q26" s="371"/>
      <c r="R26" s="372"/>
      <c r="S26" s="431"/>
    </row>
    <row r="27" spans="1:25" ht="6" hidden="1" customHeight="1">
      <c r="A27" s="431"/>
      <c r="B27" s="374"/>
      <c r="C27" s="375"/>
      <c r="D27" s="375"/>
      <c r="E27" s="375"/>
      <c r="F27" s="375"/>
      <c r="G27" s="375"/>
      <c r="H27" s="375"/>
      <c r="I27" s="375"/>
      <c r="J27" s="375"/>
      <c r="K27" s="374"/>
      <c r="L27" s="375"/>
      <c r="M27" s="375"/>
      <c r="N27" s="375"/>
      <c r="O27" s="375"/>
      <c r="P27" s="375"/>
      <c r="Q27" s="375"/>
      <c r="R27" s="376"/>
      <c r="S27" s="431"/>
    </row>
    <row r="28" spans="1:25" ht="21" customHeight="1">
      <c r="A28" s="431"/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</row>
  </sheetData>
  <mergeCells count="10">
    <mergeCell ref="K21:R22"/>
    <mergeCell ref="B3:R4"/>
    <mergeCell ref="B8:R8"/>
    <mergeCell ref="B16:J18"/>
    <mergeCell ref="K15:R16"/>
    <mergeCell ref="K18:R19"/>
    <mergeCell ref="B9:H9"/>
    <mergeCell ref="F12:I12"/>
    <mergeCell ref="F13:I13"/>
    <mergeCell ref="F14:I1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I4" sqref="I4"/>
    </sheetView>
  </sheetViews>
  <sheetFormatPr defaultColWidth="9.109375" defaultRowHeight="13.2"/>
  <cols>
    <col min="1" max="1" width="3.44140625" style="182" customWidth="1"/>
    <col min="2" max="2" width="5" style="182" customWidth="1"/>
    <col min="3" max="3" width="11" style="182" customWidth="1"/>
    <col min="4" max="4" width="18.5546875" style="182" customWidth="1"/>
    <col min="5" max="5" width="8.33203125" style="182" customWidth="1"/>
    <col min="6" max="6" width="6.6640625" style="182" customWidth="1"/>
    <col min="7" max="15" width="9.109375" style="182"/>
    <col min="16" max="16" width="3.44140625" style="182" customWidth="1"/>
    <col min="17" max="16384" width="9.109375" style="182"/>
  </cols>
  <sheetData>
    <row r="1" spans="1:16" ht="17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5.25" customHeight="1">
      <c r="A2" s="3"/>
      <c r="B2" s="821" t="s">
        <v>56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3"/>
    </row>
    <row r="3" spans="1:16" ht="17.25" customHeight="1">
      <c r="A3" s="3"/>
      <c r="B3" s="170" t="s">
        <v>51</v>
      </c>
      <c r="C3" s="1"/>
      <c r="D3" s="171" t="s">
        <v>52</v>
      </c>
      <c r="E3" s="190">
        <v>6.7</v>
      </c>
      <c r="F3" s="173" t="s">
        <v>53</v>
      </c>
      <c r="G3" s="190">
        <v>4.5999999999999996</v>
      </c>
      <c r="H3" s="174" t="s">
        <v>54</v>
      </c>
      <c r="I3" s="190">
        <v>-4.5999999999999996</v>
      </c>
      <c r="J3" s="1"/>
      <c r="K3" s="1"/>
      <c r="L3" s="326">
        <f>E3</f>
        <v>6.7</v>
      </c>
      <c r="M3" s="326">
        <f>IF(G3="",0,G3)</f>
        <v>4.5999999999999996</v>
      </c>
      <c r="N3" s="326">
        <f>IF(I3="",0,I3)</f>
        <v>-4.5999999999999996</v>
      </c>
      <c r="O3" s="327"/>
      <c r="P3" s="3"/>
    </row>
    <row r="4" spans="1:16" ht="14.25" customHeight="1">
      <c r="A4" s="3"/>
      <c r="B4" s="1"/>
      <c r="C4" s="1"/>
      <c r="D4" s="176"/>
      <c r="E4" s="1" t="str">
        <f>IF(E3=0,"Coloque um valor diferente de zero para valor de a"," ")</f>
        <v xml:space="preserve"> </v>
      </c>
      <c r="F4" s="176"/>
      <c r="G4" s="187" t="str">
        <f>IF(G3&gt;0," + ",IF(G3&lt;0," - ","+"))</f>
        <v xml:space="preserve"> + </v>
      </c>
      <c r="H4" s="188"/>
      <c r="I4" s="187" t="str">
        <f>IF(I3&gt;0," + ",IF(I3&lt;0," - ","+"))</f>
        <v xml:space="preserve"> - </v>
      </c>
      <c r="J4" s="1"/>
      <c r="K4" s="1"/>
      <c r="L4" s="1"/>
      <c r="M4" s="1"/>
      <c r="N4" s="1"/>
      <c r="O4" s="1"/>
      <c r="P4" s="3"/>
    </row>
    <row r="5" spans="1:16" ht="14.25" customHeight="1">
      <c r="A5" s="3"/>
      <c r="B5" s="178"/>
      <c r="C5" s="1"/>
      <c r="D5" s="176"/>
      <c r="E5" s="177"/>
      <c r="F5" s="176"/>
      <c r="G5" s="179" t="str">
        <f>IF(E3&gt;0," 1)Concavidade do gráfico voltada para cima. (a&gt;0)",IF(E3&lt;0,"1)Concavidade do gráfico voltada para baixo.(a&lt;0)",IF(G3=0,CONCATENATE(" y = ",I3),IF(I3&gt;0,CONCATENATE("A função é y = ",G3,"x  +  ",I3),CONCATENATE("A função é  y = ",G3,"x  -  ",ABS(I3))))))</f>
        <v xml:space="preserve"> 1)Concavidade do gráfico voltada para cima. (a&gt;0)</v>
      </c>
      <c r="H5" s="176"/>
      <c r="I5" s="177"/>
      <c r="J5" s="1"/>
      <c r="K5" s="1"/>
      <c r="L5" s="1"/>
      <c r="M5" s="1"/>
      <c r="N5" s="1"/>
      <c r="O5" s="1"/>
      <c r="P5" s="3"/>
    </row>
    <row r="6" spans="1:16" ht="14.25" customHeight="1">
      <c r="A6" s="3"/>
      <c r="B6" s="180"/>
      <c r="C6" s="184" t="s">
        <v>1</v>
      </c>
      <c r="D6" s="185" t="str">
        <f>CONCATENATE(" y =",E3,"x²",G4,ABS(M3),"x",I4,ABS(N3))</f>
        <v xml:space="preserve"> y =6,7x² + 4,6x - 4,6</v>
      </c>
      <c r="E6" s="191" t="str">
        <f>D6</f>
        <v xml:space="preserve"> y =6,7x² + 4,6x - 4,6</v>
      </c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1:16" ht="12" customHeight="1">
      <c r="A7" s="3"/>
      <c r="B7" s="180" t="str">
        <f>IF(D7=0,CONCATENATE("(",C7,",",D7,")"),"")</f>
        <v/>
      </c>
      <c r="C7" s="172">
        <v>-7</v>
      </c>
      <c r="D7" s="189" t="str">
        <f>CONCATENATE( E$3,"*(",C7,")²",G$4,M$3,"*(",  C7,")",I$4,N$3,"=")</f>
        <v>6,7*(-7)² + 4,6*(-7) - -4,6=</v>
      </c>
      <c r="E7" s="175">
        <f>E$3*C7*C7+G$3*C7+I$3</f>
        <v>291.5</v>
      </c>
      <c r="F7" s="1"/>
      <c r="G7" s="1"/>
      <c r="H7" s="1"/>
      <c r="I7" s="1"/>
      <c r="J7" s="1"/>
      <c r="K7" s="1"/>
      <c r="L7" s="1"/>
      <c r="M7" s="1"/>
      <c r="N7" s="1"/>
      <c r="O7" s="1"/>
      <c r="P7" s="3"/>
    </row>
    <row r="8" spans="1:16" ht="12" customHeight="1">
      <c r="A8" s="3"/>
      <c r="B8" s="180" t="str">
        <f>IF(D8=0,CONCATENATE("(",C8,",",D8,")"),"")</f>
        <v/>
      </c>
      <c r="C8" s="172">
        <f>C7+1</f>
        <v>-6</v>
      </c>
      <c r="D8" s="189" t="str">
        <f t="shared" ref="D8:D21" si="0">CONCATENATE( E$3,"*(",C8,")²",G$4,M$3,"*(",  C8,")",I$4,N$3,"=")</f>
        <v>6,7*(-6)² + 4,6*(-6) - -4,6=</v>
      </c>
      <c r="E8" s="175">
        <f>E$3*C8*C8+G$3*C8+I$3</f>
        <v>209.00000000000003</v>
      </c>
      <c r="F8" s="1"/>
      <c r="G8" s="1"/>
      <c r="H8" s="1"/>
      <c r="I8" s="1"/>
      <c r="J8" s="1"/>
      <c r="K8" s="1"/>
      <c r="L8" s="1"/>
      <c r="M8" s="1"/>
      <c r="N8" s="1"/>
      <c r="O8" s="1"/>
      <c r="P8" s="3"/>
    </row>
    <row r="9" spans="1:16" ht="12" customHeight="1">
      <c r="A9" s="3"/>
      <c r="B9" s="180" t="str">
        <f>IF(D9=0,CONCATENATE("(",C9,",",D9,")"),"")</f>
        <v/>
      </c>
      <c r="C9" s="172">
        <f t="shared" ref="C9:C21" si="1">C8+1</f>
        <v>-5</v>
      </c>
      <c r="D9" s="189" t="str">
        <f t="shared" si="0"/>
        <v>6,7*(-5)² + 4,6*(-5) - -4,6=</v>
      </c>
      <c r="E9" s="175">
        <f>E$3*C9*C9+G$3*C9+I$3</f>
        <v>139.9</v>
      </c>
      <c r="F9" s="1"/>
      <c r="G9" s="1"/>
      <c r="H9" s="1"/>
      <c r="I9" s="1"/>
      <c r="J9" s="1"/>
      <c r="K9" s="1"/>
      <c r="L9" s="1"/>
      <c r="M9" s="1"/>
      <c r="N9" s="1"/>
      <c r="O9" s="1"/>
      <c r="P9" s="3"/>
    </row>
    <row r="10" spans="1:16" ht="12" customHeight="1">
      <c r="A10" s="3"/>
      <c r="B10" s="180" t="str">
        <f>IF(D10=0,CONCATENATE("(",C10,",",D10,")"),"")</f>
        <v/>
      </c>
      <c r="C10" s="172">
        <f t="shared" si="1"/>
        <v>-4</v>
      </c>
      <c r="D10" s="189" t="str">
        <f t="shared" si="0"/>
        <v>6,7*(-4)² + 4,6*(-4) - -4,6=</v>
      </c>
      <c r="E10" s="175">
        <f>E$3*C10*C10+G$3*C10+I$3</f>
        <v>84.200000000000017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</row>
    <row r="11" spans="1:16" ht="12" customHeight="1">
      <c r="A11" s="3"/>
      <c r="B11" s="180" t="str">
        <f t="shared" ref="B11:B21" si="2">IF(E11=0,CONCATENATE("(",C11,",",E11,")"),"")</f>
        <v/>
      </c>
      <c r="C11" s="172">
        <f t="shared" si="1"/>
        <v>-3</v>
      </c>
      <c r="D11" s="189" t="str">
        <f t="shared" si="0"/>
        <v>6,7*(-3)² + 4,6*(-3) - -4,6=</v>
      </c>
      <c r="E11" s="175">
        <f t="shared" ref="E11:E21" si="3">E$3*C11*C11+G$3*C11+I$3</f>
        <v>41.900000000000006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</row>
    <row r="12" spans="1:16" ht="12" customHeight="1">
      <c r="A12" s="3"/>
      <c r="B12" s="180" t="str">
        <f t="shared" si="2"/>
        <v/>
      </c>
      <c r="C12" s="172">
        <f t="shared" si="1"/>
        <v>-2</v>
      </c>
      <c r="D12" s="189" t="str">
        <f t="shared" si="0"/>
        <v>6,7*(-2)² + 4,6*(-2) - -4,6=</v>
      </c>
      <c r="E12" s="175">
        <f t="shared" si="3"/>
        <v>13.000000000000002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</row>
    <row r="13" spans="1:16" ht="12" customHeight="1">
      <c r="A13" s="3"/>
      <c r="B13" s="180" t="str">
        <f t="shared" si="2"/>
        <v/>
      </c>
      <c r="C13" s="172">
        <f t="shared" si="1"/>
        <v>-1</v>
      </c>
      <c r="D13" s="189" t="str">
        <f t="shared" si="0"/>
        <v>6,7*(-1)² + 4,6*(-1) - -4,6=</v>
      </c>
      <c r="E13" s="175">
        <f t="shared" si="3"/>
        <v>-2.4999999999999991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</row>
    <row r="14" spans="1:16" ht="12" customHeight="1">
      <c r="A14" s="3"/>
      <c r="B14" s="180" t="str">
        <f t="shared" si="2"/>
        <v/>
      </c>
      <c r="C14" s="172">
        <f t="shared" si="1"/>
        <v>0</v>
      </c>
      <c r="D14" s="189" t="str">
        <f t="shared" si="0"/>
        <v>6,7*(0)² + 4,6*(0) - -4,6=</v>
      </c>
      <c r="E14" s="175">
        <f t="shared" si="3"/>
        <v>-4.5999999999999996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</row>
    <row r="15" spans="1:16" ht="12" customHeight="1">
      <c r="A15" s="3"/>
      <c r="B15" s="180" t="str">
        <f t="shared" si="2"/>
        <v/>
      </c>
      <c r="C15" s="172">
        <f t="shared" si="1"/>
        <v>1</v>
      </c>
      <c r="D15" s="189" t="str">
        <f t="shared" si="0"/>
        <v>6,7*(1)² + 4,6*(1) - -4,6=</v>
      </c>
      <c r="E15" s="175">
        <f t="shared" si="3"/>
        <v>6.7000000000000011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</row>
    <row r="16" spans="1:16" ht="12" customHeight="1">
      <c r="A16" s="3"/>
      <c r="B16" s="180" t="str">
        <f t="shared" si="2"/>
        <v/>
      </c>
      <c r="C16" s="172">
        <f t="shared" si="1"/>
        <v>2</v>
      </c>
      <c r="D16" s="189" t="str">
        <f t="shared" si="0"/>
        <v>6,7*(2)² + 4,6*(2) - -4,6=</v>
      </c>
      <c r="E16" s="175">
        <f t="shared" si="3"/>
        <v>31.4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</row>
    <row r="17" spans="1:16" ht="12" customHeight="1">
      <c r="A17" s="3"/>
      <c r="B17" s="180" t="str">
        <f t="shared" si="2"/>
        <v/>
      </c>
      <c r="C17" s="172">
        <f t="shared" si="1"/>
        <v>3</v>
      </c>
      <c r="D17" s="189" t="str">
        <f t="shared" si="0"/>
        <v>6,7*(3)² + 4,6*(3) - -4,6=</v>
      </c>
      <c r="E17" s="175">
        <f t="shared" si="3"/>
        <v>69.500000000000014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</row>
    <row r="18" spans="1:16" ht="12" customHeight="1">
      <c r="A18" s="3"/>
      <c r="B18" s="169" t="str">
        <f t="shared" si="2"/>
        <v/>
      </c>
      <c r="C18" s="172">
        <f t="shared" si="1"/>
        <v>4</v>
      </c>
      <c r="D18" s="189" t="str">
        <f t="shared" si="0"/>
        <v>6,7*(4)² + 4,6*(4) - -4,6=</v>
      </c>
      <c r="E18" s="175">
        <f t="shared" si="3"/>
        <v>121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</row>
    <row r="19" spans="1:16" ht="12" customHeight="1">
      <c r="A19" s="3"/>
      <c r="B19" s="180" t="str">
        <f t="shared" si="2"/>
        <v/>
      </c>
      <c r="C19" s="172">
        <f t="shared" si="1"/>
        <v>5</v>
      </c>
      <c r="D19" s="189" t="str">
        <f t="shared" si="0"/>
        <v>6,7*(5)² + 4,6*(5) - -4,6=</v>
      </c>
      <c r="E19" s="175">
        <f t="shared" si="3"/>
        <v>185.9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</row>
    <row r="20" spans="1:16" ht="12" customHeight="1">
      <c r="A20" s="3"/>
      <c r="B20" s="180" t="str">
        <f t="shared" si="2"/>
        <v/>
      </c>
      <c r="C20" s="172">
        <f t="shared" si="1"/>
        <v>6</v>
      </c>
      <c r="D20" s="189" t="str">
        <f t="shared" si="0"/>
        <v>6,7*(6)² + 4,6*(6) - -4,6=</v>
      </c>
      <c r="E20" s="175">
        <f t="shared" si="3"/>
        <v>264.2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</row>
    <row r="21" spans="1:16" ht="12" customHeight="1">
      <c r="A21" s="3"/>
      <c r="B21" s="180" t="str">
        <f t="shared" si="2"/>
        <v/>
      </c>
      <c r="C21" s="206">
        <f t="shared" si="1"/>
        <v>7</v>
      </c>
      <c r="D21" s="189" t="str">
        <f t="shared" si="0"/>
        <v>6,7*(7)² + 4,6*(7) - -4,6=</v>
      </c>
      <c r="E21" s="207">
        <f t="shared" si="3"/>
        <v>355.9</v>
      </c>
      <c r="F21" s="1"/>
      <c r="J21" s="181"/>
      <c r="K21" s="1"/>
      <c r="L21" s="1"/>
      <c r="M21" s="1"/>
      <c r="N21" s="1"/>
      <c r="O21" s="1"/>
      <c r="P21" s="3"/>
    </row>
    <row r="22" spans="1:16" ht="12" customHeight="1">
      <c r="A22" s="3"/>
      <c r="B22" s="208" t="s">
        <v>55</v>
      </c>
      <c r="C22" s="209"/>
      <c r="D22" s="209"/>
      <c r="E22" s="210"/>
      <c r="F22" s="1"/>
      <c r="G22" s="195"/>
      <c r="H22" s="196"/>
      <c r="I22" s="197"/>
      <c r="J22" s="198" t="str">
        <f>IF(E3=0,"",CONCATENATE("xv = -b/(2a) =", -G3,"/(2*",E3,")=",        ROUND(   -G3/(2*E3),4)))</f>
        <v>xv = -b/(2a) =-4,6/(2*6,7)=-0,3433</v>
      </c>
      <c r="K22" s="197"/>
      <c r="L22" s="197"/>
      <c r="M22" s="197"/>
      <c r="N22" s="193"/>
      <c r="O22" s="1"/>
      <c r="P22" s="3"/>
    </row>
    <row r="23" spans="1:16" ht="12" customHeight="1">
      <c r="A23" s="3"/>
      <c r="B23" s="211" t="str">
        <f>IF(E3&lt;&gt;0,IF((G3^2-4*E3*I3)&lt;0,"A função não tem raízes reais.",CONCATENATE("x1="," [ ",-M3," + RAIZ( ",M3,"² - 4 * ",E3," * ",N3,"  )  ] / ( 2 * ",E3,")")))</f>
        <v>x1= [ -4,6 + RAIZ( 4,6² - 4 * 6,7 * -4,6  )  ] / ( 2 * 6,7)</v>
      </c>
      <c r="C23" s="212"/>
      <c r="D23" s="212"/>
      <c r="E23" s="213"/>
      <c r="F23" s="1"/>
      <c r="G23" s="199" t="str">
        <f>IF(E3=0,"",CONCATENATE("3)Vértice= ( ",ROUND(B27,2),",     ",ROUND(B28,2)," )"))</f>
        <v>3)Vértice= ( -0,34,     -5,39 )</v>
      </c>
      <c r="H23" s="200"/>
      <c r="I23" s="200"/>
      <c r="J23" s="201" t="str">
        <f>IF(E3=0,"",CONCATENATE("yv =  - delta/(4a) =  -  ((",G3,")² -4*",E3,"*",I3,")/(4*",E3,")) = ",        ROUND(  -(G3^2-4*E3*I3)/(4*E3),4)))</f>
        <v>yv =  - delta/(4a) =  -  ((4,6)² -4*6,7*-4,6)/(4*6,7)) = -5,3896</v>
      </c>
      <c r="K23" s="200"/>
      <c r="L23" s="200"/>
      <c r="M23" s="200"/>
      <c r="N23" s="194"/>
      <c r="O23" s="1"/>
      <c r="P23" s="3"/>
    </row>
    <row r="24" spans="1:16" ht="12" customHeight="1">
      <c r="A24" s="3"/>
      <c r="B24" s="211" t="str">
        <f>IF(E3&lt;&gt;0,IF((G3^2-4*E3*I3)&lt;0,"A função não tem raízes reais",CONCATENATE("x1=", ROUND(( -G3+(G3^2-4*E3*I3)^(1/2))/(2*E3),2)) ), IF(G3&lt;&gt;0,-I3/G3,IF(I3&lt;&gt;0,"A função é constante")))</f>
        <v>x1=0,55</v>
      </c>
      <c r="C24" s="214"/>
      <c r="D24" s="214"/>
      <c r="E24" s="213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</row>
    <row r="25" spans="1:16" ht="12" customHeight="1">
      <c r="A25" s="3"/>
      <c r="B25" s="215" t="str">
        <f>IF(E3&lt;&gt;0,IF((G3^2-4*E3*I3)&lt;0,"A função não tem raízes reais.",CONCATENATE("x2="," [ ",-M3," - RAIZ( ",M3,"² - 4 * ",E3," * ",N3,"  )  ] / ( 2 * ",E3,")")))</f>
        <v>x2= [ -4,6 - RAIZ( 4,6² - 4 * 6,7 * -4,6  )  ] / ( 2 * 6,7)</v>
      </c>
      <c r="C25" s="214"/>
      <c r="D25" s="214"/>
      <c r="E25" s="213"/>
      <c r="F25" s="1"/>
      <c r="G25" s="202" t="str">
        <f>IF( AND(E3=0,G3=0),  CONCATENATE( "4)Imagem={", I3,"}" ), IF( AND(E3=0,G3&lt;&gt;0),"4)Imagem=R",IF(E3&gt;0,CONCATENATE("4)Imagem=Todos os reais a partir de  y =",ROUND(B28,4)),CONCATENATE("4)Imagem=Todos os reais menores que  ",ROUND(B28,4)) )))</f>
        <v>4)Imagem=Todos os reais a partir de  y =-5,3896</v>
      </c>
      <c r="H25" s="203"/>
      <c r="I25" s="203"/>
      <c r="J25" s="203"/>
      <c r="K25" s="203"/>
      <c r="L25" s="203"/>
      <c r="M25" s="203"/>
      <c r="N25" s="204"/>
      <c r="O25" s="1"/>
      <c r="P25" s="3"/>
    </row>
    <row r="26" spans="1:16" ht="12" customHeight="1">
      <c r="A26" s="3"/>
      <c r="B26" s="216" t="str">
        <f>IF(E3&lt;&gt;0,IF((G3^2-4*E3*I3)&lt;0,"A função não tem raízes reais",CONCATENATE("x2=", ROUND(( -G3-(G3^2-4*E3*I3)^(1/2))/(2*E3),2)) ), IF(G3&lt;&gt;0,-I3/G3,IF(I3&lt;&gt;0,"A função é constante")))</f>
        <v>x2=-1,24</v>
      </c>
      <c r="C26" s="217"/>
      <c r="D26" s="217"/>
      <c r="E26" s="218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ht="13.5" customHeight="1">
      <c r="A27" s="3"/>
      <c r="B27" s="186">
        <f>IF(E3=0,"",-G3/(2*E3))</f>
        <v>-0.34328358208955223</v>
      </c>
      <c r="C27" s="1"/>
      <c r="D27" s="1"/>
      <c r="E27" s="1"/>
      <c r="F27" s="1"/>
      <c r="G27" s="205" t="str">
        <f>IF(AND(E3=0,G3=0),"5) A função é constante.",IF( AND(E3=0,G3&gt;0),"5) A função é crescente",IF( AND(E3=0,G3&lt;0),"A função é decrescente",IF(E3&gt;0,CONCATENATE(" 5)A função é decrescente desde -infinito até ",B27," e crescente a partir deste valor "),CONCATENATE("5) A função é crescente desde -infinito até ",ROUND(B27,4)," e decrescente a partir deste valor ")))))</f>
        <v xml:space="preserve"> 5)A função é decrescente desde -infinito até -0,343283582089552 e crescente a partir deste valor </v>
      </c>
      <c r="H27" s="203"/>
      <c r="I27" s="203"/>
      <c r="J27" s="203"/>
      <c r="K27" s="203"/>
      <c r="L27" s="203"/>
      <c r="M27" s="203"/>
      <c r="N27" s="204"/>
      <c r="O27" s="1"/>
      <c r="P27" s="3"/>
    </row>
    <row r="28" spans="1:16" ht="13.5" customHeight="1">
      <c r="A28" s="3"/>
      <c r="B28" s="186">
        <f>IF(E3=0,"",-(G3*G3-4*E3*I3)/(4*E3))</f>
        <v>-5.3895522388059698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ht="15.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</sheetData>
  <mergeCells count="1">
    <mergeCell ref="B2:O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31"/>
  <sheetViews>
    <sheetView workbookViewId="0">
      <selection activeCell="G12" sqref="G12"/>
    </sheetView>
  </sheetViews>
  <sheetFormatPr defaultColWidth="9.109375" defaultRowHeight="13.2"/>
  <cols>
    <col min="1" max="1" width="2.88671875" style="348" customWidth="1"/>
    <col min="2" max="2" width="10.109375" style="348" customWidth="1"/>
    <col min="3" max="3" width="10.88671875" style="348" customWidth="1"/>
    <col min="4" max="4" width="1.88671875" style="348" customWidth="1"/>
    <col min="5" max="5" width="7.5546875" style="348" customWidth="1"/>
    <col min="6" max="6" width="1.88671875" style="348" customWidth="1"/>
    <col min="7" max="7" width="10.44140625" style="348" customWidth="1"/>
    <col min="8" max="8" width="11.44140625" style="348" customWidth="1"/>
    <col min="9" max="9" width="9" style="348" customWidth="1"/>
    <col min="10" max="10" width="11" style="348" customWidth="1"/>
    <col min="11" max="11" width="10" style="348" customWidth="1"/>
    <col min="12" max="12" width="9" style="348" customWidth="1"/>
    <col min="13" max="13" width="1.5546875" style="348" customWidth="1"/>
    <col min="14" max="14" width="9.109375" style="348"/>
    <col min="15" max="15" width="2" style="348" customWidth="1"/>
    <col min="16" max="16" width="13" style="348" customWidth="1"/>
    <col min="17" max="17" width="1.6640625" style="348" customWidth="1"/>
    <col min="18" max="18" width="9.5546875" style="348" customWidth="1"/>
    <col min="19" max="19" width="2.6640625" style="348" customWidth="1"/>
    <col min="20" max="16384" width="9.109375" style="348"/>
  </cols>
  <sheetData>
    <row r="1" spans="1:19" ht="15.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.600000000000001">
      <c r="A2" s="3"/>
      <c r="B2" s="346" t="s">
        <v>98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 ht="15.6">
      <c r="A3" s="3"/>
      <c r="B3" s="346" t="str">
        <f>CONCATENATE( "Considere a função quadrática y= 2x² - ",ABS(Gerador!I10),"x + ",Gerador!I11," para resolver as questões 7 a 10.")</f>
        <v>Considere a função quadrática y= 2x² - 44x + 234 para resolver as questões 7 a 10.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</row>
    <row r="4" spans="1:19" ht="15.6">
      <c r="A4" s="3"/>
      <c r="B4" s="366" t="s">
        <v>110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139"/>
      <c r="S4" s="3"/>
    </row>
    <row r="5" spans="1:19" ht="15.6">
      <c r="A5" s="3"/>
      <c r="B5" s="382" t="s">
        <v>100</v>
      </c>
      <c r="C5" s="380"/>
      <c r="D5" s="24"/>
      <c r="E5" s="371" t="str">
        <f>IF(C5="","",IF(OR(C5=Gerador!F10,C5=Gerador!F11),"Correto!"," Reveja teus cálculos"))</f>
        <v/>
      </c>
      <c r="F5" s="371"/>
      <c r="G5" s="371"/>
      <c r="H5" s="383" t="s">
        <v>104</v>
      </c>
      <c r="I5" s="380"/>
      <c r="J5" s="371" t="str">
        <f>IF(C5="","",IF(OR(I5=Gerador!F10,I5=Gerador!F11),"Correto!"," Reveja teus cálculos"))</f>
        <v/>
      </c>
      <c r="K5" s="24"/>
      <c r="L5" s="24"/>
      <c r="M5" s="24"/>
      <c r="N5" s="24"/>
      <c r="O5" s="24"/>
      <c r="P5" s="24"/>
      <c r="Q5" s="24"/>
      <c r="R5" s="87"/>
      <c r="S5" s="3"/>
    </row>
    <row r="6" spans="1:19" ht="25.5" customHeight="1">
      <c r="A6" s="3"/>
      <c r="B6" s="823"/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5"/>
      <c r="S6" s="3"/>
    </row>
    <row r="7" spans="1:19" ht="42.75" customHeight="1">
      <c r="A7" s="3"/>
      <c r="B7" s="826"/>
      <c r="C7" s="827"/>
      <c r="D7" s="827"/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8"/>
      <c r="S7" s="3"/>
    </row>
    <row r="8" spans="1:19" ht="16.2" thickBot="1">
      <c r="A8" s="3"/>
      <c r="B8" s="5" t="s">
        <v>99</v>
      </c>
      <c r="C8" s="5"/>
      <c r="D8" s="5"/>
      <c r="E8" s="5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"/>
    </row>
    <row r="9" spans="1:19" ht="16.2" thickBot="1">
      <c r="A9" s="3"/>
      <c r="B9" s="327" t="s">
        <v>111</v>
      </c>
      <c r="C9" s="359"/>
      <c r="D9" s="327"/>
      <c r="E9" s="327" t="str">
        <f>IF(C9="","",IF(ABS(C9-(-Gerador!I10/(2*Gerador!I9)))&lt;0.7,"Correto!","Reveja os cálculos"))</f>
        <v/>
      </c>
      <c r="F9" s="327"/>
      <c r="G9" s="5"/>
      <c r="H9" s="327" t="s">
        <v>112</v>
      </c>
      <c r="I9" s="359"/>
      <c r="J9" s="327" t="str">
        <f>IF(I9="","",IF(ABS( I9- (-(Gerador!I10^2)+4*Gerador!I9*Gerador!I11)/(4*Gerador!I9))&lt;0.7,"Correto!","Reveja os cálculos"))</f>
        <v/>
      </c>
      <c r="K9" s="327"/>
      <c r="L9" s="327"/>
      <c r="M9" s="327"/>
      <c r="N9" s="327"/>
      <c r="O9" s="327"/>
      <c r="P9" s="327"/>
      <c r="Q9" s="327"/>
      <c r="R9" s="327"/>
      <c r="S9" s="3"/>
    </row>
    <row r="10" spans="1:19" ht="51" customHeight="1">
      <c r="A10" s="3"/>
      <c r="B10" s="829"/>
      <c r="C10" s="829"/>
      <c r="D10" s="829"/>
      <c r="E10" s="829"/>
      <c r="F10" s="829"/>
      <c r="G10" s="829"/>
      <c r="H10" s="829"/>
      <c r="I10" s="829"/>
      <c r="J10" s="829"/>
      <c r="K10" s="829"/>
      <c r="L10" s="829"/>
      <c r="M10" s="829"/>
      <c r="N10" s="829"/>
      <c r="O10" s="829"/>
      <c r="P10" s="829"/>
      <c r="Q10" s="829"/>
      <c r="R10" s="829"/>
      <c r="S10" s="3"/>
    </row>
    <row r="11" spans="1:19" ht="15.6">
      <c r="A11" s="3"/>
      <c r="B11" s="347" t="s">
        <v>113</v>
      </c>
      <c r="C11" s="5"/>
      <c r="D11" s="5"/>
      <c r="E11" s="5"/>
      <c r="F11" s="327"/>
      <c r="G11" s="327"/>
      <c r="H11" s="327"/>
      <c r="I11" s="327"/>
      <c r="J11" s="5"/>
      <c r="K11" s="384" t="s">
        <v>97</v>
      </c>
      <c r="L11" s="367"/>
      <c r="M11" s="367"/>
      <c r="N11" s="367"/>
      <c r="O11" s="367"/>
      <c r="P11" s="367"/>
      <c r="Q11" s="367"/>
      <c r="R11" s="368"/>
      <c r="S11" s="3"/>
    </row>
    <row r="12" spans="1:19" ht="15.6">
      <c r="A12" s="3"/>
      <c r="B12" s="390" t="s">
        <v>89</v>
      </c>
      <c r="C12" s="391" t="s">
        <v>2</v>
      </c>
      <c r="D12" s="327"/>
      <c r="E12" s="327"/>
      <c r="F12" s="327" t="s">
        <v>90</v>
      </c>
      <c r="G12" s="327"/>
      <c r="H12" s="327"/>
      <c r="I12" s="327"/>
      <c r="J12" s="327"/>
      <c r="K12" s="370"/>
      <c r="L12" s="371"/>
      <c r="M12" s="371"/>
      <c r="N12" s="371"/>
      <c r="O12" s="371"/>
      <c r="P12" s="371"/>
      <c r="Q12" s="371"/>
      <c r="R12" s="372"/>
      <c r="S12" s="3"/>
    </row>
    <row r="13" spans="1:19" ht="15.6">
      <c r="A13" s="3"/>
      <c r="B13" s="360">
        <v>0</v>
      </c>
      <c r="C13" s="361">
        <f>2*B13-40*B13+192</f>
        <v>192</v>
      </c>
      <c r="D13" s="327" t="str">
        <f>IF(C13="","",IF(ABS(C13-(B13^2*Gerador!I$9+B13*Gerador!I$10+Gerador!I$11))&lt;1,"Correto!","Refaça os cálculos!"))</f>
        <v>Refaça os cálculos!</v>
      </c>
      <c r="E13" s="327"/>
      <c r="F13" s="822"/>
      <c r="G13" s="822"/>
      <c r="H13" s="822"/>
      <c r="I13" s="822"/>
      <c r="J13" s="327"/>
      <c r="K13" s="370"/>
      <c r="L13" s="371"/>
      <c r="M13" s="371"/>
      <c r="N13" s="371"/>
      <c r="O13" s="371"/>
      <c r="P13" s="371"/>
      <c r="Q13" s="371"/>
      <c r="R13" s="372"/>
      <c r="S13" s="3"/>
    </row>
    <row r="14" spans="1:19" ht="15.6">
      <c r="A14" s="3"/>
      <c r="B14" s="360">
        <f>Gerador!F11</f>
        <v>9</v>
      </c>
      <c r="C14" s="361"/>
      <c r="D14" s="327" t="str">
        <f>IF(C14="","",IF(ABS(C14-(B14^2*Gerador!I$9+B14*Gerador!I$10+Gerador!I$11))&lt;1,"Correto!","Refaça os cálculos!"))</f>
        <v/>
      </c>
      <c r="E14" s="327"/>
      <c r="F14" s="822"/>
      <c r="G14" s="822"/>
      <c r="H14" s="822"/>
      <c r="I14" s="822"/>
      <c r="J14" s="327"/>
      <c r="K14" s="370"/>
      <c r="L14" s="371"/>
      <c r="M14" s="371"/>
      <c r="N14" s="371"/>
      <c r="O14" s="371"/>
      <c r="P14" s="371"/>
      <c r="Q14" s="371"/>
      <c r="R14" s="372"/>
      <c r="S14" s="3"/>
    </row>
    <row r="15" spans="1:19" ht="15.6">
      <c r="A15" s="3"/>
      <c r="B15" s="365">
        <f>(B14+B16)/2</f>
        <v>11</v>
      </c>
      <c r="C15" s="361"/>
      <c r="D15" s="327" t="str">
        <f>IF(C15="","",IF(ABS(C15-(B15^2*Gerador!I$9+B15*Gerador!I$10+Gerador!I$11))&lt;1,"Correto!","Refaça os cálculos!"))</f>
        <v/>
      </c>
      <c r="E15" s="327"/>
      <c r="F15" s="822"/>
      <c r="G15" s="822"/>
      <c r="H15" s="822"/>
      <c r="I15" s="822"/>
      <c r="J15" s="327"/>
      <c r="K15" s="370"/>
      <c r="L15" s="371"/>
      <c r="M15" s="371"/>
      <c r="N15" s="371"/>
      <c r="O15" s="371"/>
      <c r="P15" s="371"/>
      <c r="Q15" s="371"/>
      <c r="R15" s="372"/>
      <c r="S15" s="3"/>
    </row>
    <row r="16" spans="1:19" ht="15.6">
      <c r="A16" s="3"/>
      <c r="B16" s="365">
        <f>Gerador!F10</f>
        <v>13</v>
      </c>
      <c r="C16" s="361"/>
      <c r="D16" s="327" t="str">
        <f>IF(C16="","",IF(ABS(C16-(B16^2*Gerador!I$9+B16*Gerador!I$10+Gerador!I$11))&lt;1,"Correto!","Refaça os cálculos!"))</f>
        <v/>
      </c>
      <c r="E16" s="327"/>
      <c r="F16" s="822"/>
      <c r="G16" s="822"/>
      <c r="H16" s="822"/>
      <c r="I16" s="822"/>
      <c r="J16" s="327"/>
      <c r="K16" s="370"/>
      <c r="L16" s="371"/>
      <c r="M16" s="371"/>
      <c r="N16" s="371"/>
      <c r="O16" s="371"/>
      <c r="P16" s="371"/>
      <c r="Q16" s="371"/>
      <c r="R16" s="372"/>
      <c r="S16" s="3"/>
    </row>
    <row r="17" spans="1:24" ht="15.6">
      <c r="A17" s="3"/>
      <c r="B17" s="327"/>
      <c r="C17" s="327"/>
      <c r="D17" s="327"/>
      <c r="E17" s="327"/>
      <c r="F17" s="327"/>
      <c r="G17" s="327"/>
      <c r="H17" s="327"/>
      <c r="I17" s="327"/>
      <c r="J17" s="327"/>
      <c r="K17" s="370"/>
      <c r="L17" s="371"/>
      <c r="M17" s="371"/>
      <c r="N17" s="371"/>
      <c r="O17" s="371"/>
      <c r="P17" s="371"/>
      <c r="Q17" s="371"/>
      <c r="R17" s="372"/>
      <c r="S17" s="3"/>
    </row>
    <row r="18" spans="1:24" ht="19.5" customHeight="1">
      <c r="A18" s="3"/>
      <c r="B18" s="371"/>
      <c r="C18" s="371"/>
      <c r="D18" s="371"/>
      <c r="E18" s="371"/>
      <c r="F18" s="371"/>
      <c r="G18" s="371"/>
      <c r="H18" s="371"/>
      <c r="I18" s="371"/>
      <c r="J18" s="371"/>
      <c r="K18" s="370"/>
      <c r="L18" s="371"/>
      <c r="M18" s="371"/>
      <c r="N18" s="371"/>
      <c r="O18" s="371"/>
      <c r="P18" s="371"/>
      <c r="Q18" s="371"/>
      <c r="R18" s="372"/>
      <c r="S18" s="3"/>
    </row>
    <row r="19" spans="1:24" ht="15" customHeight="1">
      <c r="A19" s="3"/>
      <c r="B19" s="371"/>
      <c r="C19" s="371"/>
      <c r="D19" s="371"/>
      <c r="E19" s="371"/>
      <c r="F19" s="371"/>
      <c r="G19" s="371"/>
      <c r="H19" s="371"/>
      <c r="I19" s="371"/>
      <c r="J19" s="371"/>
      <c r="K19" s="370"/>
      <c r="L19" s="371"/>
      <c r="M19" s="371"/>
      <c r="N19" s="371"/>
      <c r="O19" s="371"/>
      <c r="P19" s="371"/>
      <c r="Q19" s="371"/>
      <c r="R19" s="372"/>
      <c r="S19" s="3"/>
    </row>
    <row r="20" spans="1:24" ht="16.5" customHeight="1">
      <c r="A20" s="3"/>
      <c r="B20" s="392" t="s">
        <v>115</v>
      </c>
      <c r="C20" s="371"/>
      <c r="D20" s="371"/>
      <c r="E20" s="371"/>
      <c r="F20" s="371"/>
      <c r="G20" s="371"/>
      <c r="H20" s="394"/>
      <c r="I20" s="371" t="str">
        <f>IF(H20="","",IF(ABS(H20-(I9))&lt;1,"Correto","Reveja os cálculos"))</f>
        <v/>
      </c>
      <c r="J20" s="371"/>
      <c r="K20" s="385"/>
      <c r="L20" s="363"/>
      <c r="M20" s="363"/>
      <c r="N20" s="363"/>
      <c r="O20" s="363"/>
      <c r="P20" s="363"/>
      <c r="Q20" s="363"/>
      <c r="R20" s="364"/>
      <c r="S20" s="3"/>
    </row>
    <row r="21" spans="1:24" ht="15.75" customHeight="1">
      <c r="A21" s="3"/>
      <c r="B21" s="392" t="s">
        <v>114</v>
      </c>
      <c r="C21" s="369"/>
      <c r="D21" s="369"/>
      <c r="E21" s="369"/>
      <c r="F21" s="369"/>
      <c r="G21" s="369"/>
      <c r="H21" s="393"/>
      <c r="I21" s="369" t="str">
        <f>IF(H21="","",IF(ABS(H21-(-Gerador!I10/(2*Gerador!I9)))&lt;1,"Correto","Reveja os cálculos"))</f>
        <v/>
      </c>
      <c r="J21" s="369"/>
      <c r="K21" s="362"/>
      <c r="L21" s="363"/>
      <c r="M21" s="363"/>
      <c r="N21" s="363"/>
      <c r="O21" s="363"/>
      <c r="P21" s="363"/>
      <c r="Q21" s="363"/>
      <c r="R21" s="364"/>
      <c r="S21" s="3"/>
    </row>
    <row r="22" spans="1:24" ht="15.6">
      <c r="A22" s="3"/>
      <c r="B22" s="369"/>
      <c r="C22" s="369"/>
      <c r="D22" s="369"/>
      <c r="E22" s="369"/>
      <c r="F22" s="369"/>
      <c r="G22" s="369"/>
      <c r="H22" s="369"/>
      <c r="I22" s="369"/>
      <c r="J22" s="369"/>
      <c r="K22" s="386"/>
      <c r="L22" s="377"/>
      <c r="M22" s="377"/>
      <c r="N22" s="377"/>
      <c r="O22" s="377"/>
      <c r="P22" s="377"/>
      <c r="Q22" s="377"/>
      <c r="R22" s="378"/>
      <c r="S22" s="3"/>
    </row>
    <row r="23" spans="1:24" ht="15.6">
      <c r="A23" s="3"/>
      <c r="B23" s="369"/>
      <c r="C23" s="369"/>
      <c r="D23" s="369"/>
      <c r="E23" s="369"/>
      <c r="F23" s="369"/>
      <c r="G23" s="369"/>
      <c r="H23" s="369"/>
      <c r="I23" s="369"/>
      <c r="J23" s="369"/>
      <c r="K23" s="387"/>
      <c r="L23" s="388"/>
      <c r="M23" s="388"/>
      <c r="N23" s="388"/>
      <c r="O23" s="388"/>
      <c r="P23" s="388"/>
      <c r="Q23" s="388"/>
      <c r="R23" s="389"/>
      <c r="S23" s="3"/>
    </row>
    <row r="24" spans="1:24" ht="15.6">
      <c r="A24" s="3"/>
      <c r="B24" s="371"/>
      <c r="C24" s="371"/>
      <c r="D24" s="371"/>
      <c r="E24" s="371"/>
      <c r="F24" s="371"/>
      <c r="G24" s="371"/>
      <c r="H24" s="371"/>
      <c r="I24" s="371"/>
      <c r="J24" s="371"/>
      <c r="K24" s="363"/>
      <c r="L24" s="363"/>
      <c r="M24" s="363"/>
      <c r="N24" s="363"/>
      <c r="O24" s="363"/>
      <c r="P24" s="363"/>
      <c r="Q24" s="363"/>
      <c r="R24" s="363"/>
      <c r="S24" s="3"/>
      <c r="X24" s="379">
        <f>(Gerador!C5-Gerador!C6)/(Gerador!C10-Gerador!B6)</f>
        <v>-0.66666666666666663</v>
      </c>
    </row>
    <row r="25" spans="1:24" ht="15.6">
      <c r="A25" s="3"/>
      <c r="B25" s="371"/>
      <c r="C25" s="371"/>
      <c r="D25" s="371"/>
      <c r="E25" s="371"/>
      <c r="F25" s="24"/>
      <c r="G25" s="24"/>
      <c r="H25" s="24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"/>
      <c r="X25" s="379">
        <f>Gerador!C6-X24*Gerador!B6</f>
        <v>11</v>
      </c>
    </row>
    <row r="26" spans="1:24" ht="15.6">
      <c r="A26" s="3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"/>
    </row>
    <row r="27" spans="1:24" ht="15.6">
      <c r="A27" s="3"/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"/>
    </row>
    <row r="28" spans="1:24" ht="15.6">
      <c r="A28" s="3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"/>
    </row>
    <row r="29" spans="1:24" ht="15.6">
      <c r="A29" s="3"/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"/>
    </row>
    <row r="30" spans="1:24" ht="27.75" customHeight="1">
      <c r="A30" s="3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"/>
    </row>
    <row r="31" spans="1:24" ht="15.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</sheetData>
  <mergeCells count="6">
    <mergeCell ref="F16:I16"/>
    <mergeCell ref="B6:R7"/>
    <mergeCell ref="B10:R10"/>
    <mergeCell ref="F13:I13"/>
    <mergeCell ref="F14:I14"/>
    <mergeCell ref="F15:I15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O7" sqref="O7"/>
    </sheetView>
  </sheetViews>
  <sheetFormatPr defaultColWidth="9.109375" defaultRowHeight="13.2"/>
  <cols>
    <col min="1" max="1" width="2.33203125" style="1" customWidth="1"/>
    <col min="2" max="12" width="9.109375" style="1"/>
    <col min="13" max="13" width="1.88671875" style="1" customWidth="1"/>
    <col min="14" max="16384" width="9.109375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2"/>
    </row>
    <row r="3" spans="1:13">
      <c r="A3" s="2"/>
      <c r="B3" s="164"/>
      <c r="C3" s="165"/>
      <c r="D3" s="165"/>
      <c r="E3" s="165"/>
      <c r="F3" s="165"/>
      <c r="G3" s="165"/>
      <c r="H3" s="165"/>
      <c r="I3" s="165"/>
      <c r="J3" s="164"/>
      <c r="K3" s="164"/>
      <c r="L3" s="164"/>
      <c r="M3" s="2"/>
    </row>
    <row r="4" spans="1:13">
      <c r="A4" s="2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2"/>
    </row>
    <row r="5" spans="1:13">
      <c r="A5" s="2"/>
      <c r="B5" s="164"/>
      <c r="C5" s="164"/>
      <c r="D5" s="166"/>
      <c r="E5" s="164"/>
      <c r="F5" s="164"/>
      <c r="G5" s="164"/>
      <c r="H5" s="164"/>
      <c r="I5" s="164"/>
      <c r="J5" s="164"/>
      <c r="K5" s="164"/>
      <c r="L5" s="164"/>
      <c r="M5" s="2"/>
    </row>
    <row r="6" spans="1:13" ht="15.6">
      <c r="A6" s="2"/>
      <c r="B6" s="164"/>
      <c r="C6" s="167"/>
      <c r="D6" s="164"/>
      <c r="E6" s="164"/>
      <c r="F6" s="164"/>
      <c r="G6" s="164"/>
      <c r="H6" s="164"/>
      <c r="I6" s="164"/>
      <c r="J6" s="164"/>
      <c r="K6" s="164"/>
      <c r="L6" s="164"/>
      <c r="M6" s="2"/>
    </row>
    <row r="7" spans="1:13" ht="18">
      <c r="A7" s="2"/>
      <c r="B7" s="164"/>
      <c r="C7" s="168"/>
      <c r="D7" s="164"/>
      <c r="E7" s="164"/>
      <c r="F7" s="164"/>
      <c r="G7" s="164"/>
      <c r="H7" s="164"/>
      <c r="I7" s="164"/>
      <c r="J7" s="164"/>
      <c r="K7" s="164"/>
      <c r="L7" s="164"/>
      <c r="M7" s="2"/>
    </row>
    <row r="8" spans="1:13">
      <c r="A8" s="2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2"/>
    </row>
    <row r="9" spans="1:13">
      <c r="A9" s="2"/>
      <c r="B9" s="164"/>
      <c r="C9" s="166"/>
      <c r="D9" s="164"/>
      <c r="E9" s="164"/>
      <c r="F9" s="164" t="s">
        <v>49</v>
      </c>
      <c r="H9" s="164"/>
      <c r="I9" s="164"/>
      <c r="J9" s="164"/>
      <c r="K9" s="164"/>
      <c r="L9" s="164"/>
      <c r="M9" s="2"/>
    </row>
    <row r="10" spans="1:13">
      <c r="A10" s="2"/>
      <c r="B10" s="164"/>
      <c r="C10" s="166"/>
      <c r="D10" s="164"/>
      <c r="E10" s="830" t="s">
        <v>117</v>
      </c>
      <c r="F10" s="831"/>
      <c r="G10" s="831"/>
      <c r="H10" s="831"/>
      <c r="I10" s="831"/>
      <c r="J10" s="831"/>
      <c r="K10" s="164"/>
      <c r="L10" s="164"/>
      <c r="M10" s="2"/>
    </row>
    <row r="11" spans="1:13">
      <c r="A11" s="2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2"/>
    </row>
    <row r="12" spans="1:13">
      <c r="A12" s="2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2"/>
    </row>
    <row r="13" spans="1:13">
      <c r="A13" s="2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2"/>
    </row>
    <row r="14" spans="1:13">
      <c r="A14" s="2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2"/>
    </row>
    <row r="15" spans="1:13">
      <c r="A15" s="2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2"/>
    </row>
    <row r="16" spans="1:13">
      <c r="A16" s="2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2"/>
    </row>
    <row r="17" spans="1:13">
      <c r="A17" s="2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2"/>
    </row>
    <row r="18" spans="1:13">
      <c r="A18" s="2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2"/>
    </row>
    <row r="19" spans="1:13">
      <c r="A19" s="2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2"/>
    </row>
    <row r="20" spans="1:13">
      <c r="A20" s="2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2"/>
    </row>
    <row r="21" spans="1:13">
      <c r="A21" s="2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2"/>
    </row>
    <row r="22" spans="1:13">
      <c r="A22" s="2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2"/>
    </row>
    <row r="23" spans="1:13">
      <c r="A23" s="2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2"/>
    </row>
    <row r="24" spans="1:13">
      <c r="A24" s="2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2"/>
    </row>
    <row r="25" spans="1:13">
      <c r="A25" s="2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1">
    <mergeCell ref="E10:J10"/>
  </mergeCells>
  <phoneticPr fontId="1" type="noConversion"/>
  <hyperlinks>
    <hyperlink ref="E10:J10" r:id="rId1" display="Coordenadora do Laboratório Virtual de Matemática /UNIJUÍ"/>
  </hyperlinks>
  <pageMargins left="0.78740157499999996" right="0.78740157499999996" top="0.984251969" bottom="0.984251969" header="0.49212598499999999" footer="0.49212598499999999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H12"/>
  <sheetViews>
    <sheetView workbookViewId="0">
      <selection activeCell="C24" sqref="C24"/>
    </sheetView>
  </sheetViews>
  <sheetFormatPr defaultColWidth="9.109375" defaultRowHeight="13.2"/>
  <cols>
    <col min="1" max="16384" width="9.109375" style="404"/>
  </cols>
  <sheetData>
    <row r="12" spans="8:8" ht="90">
      <c r="H12" s="405" t="s">
        <v>116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56"/>
  <sheetViews>
    <sheetView workbookViewId="0">
      <selection activeCell="D9" sqref="D9"/>
    </sheetView>
  </sheetViews>
  <sheetFormatPr defaultRowHeight="18"/>
  <cols>
    <col min="1" max="1" width="2.109375" style="230" customWidth="1"/>
    <col min="2" max="2" width="5.109375" style="223" customWidth="1"/>
    <col min="3" max="3" width="10.44140625" style="223" customWidth="1"/>
    <col min="4" max="4" width="6.109375" style="221" customWidth="1"/>
    <col min="5" max="5" width="3.6640625" style="221" customWidth="1"/>
    <col min="6" max="6" width="8.6640625" style="221" customWidth="1"/>
    <col min="7" max="7" width="10.109375" style="220" customWidth="1"/>
    <col min="8" max="8" width="3.109375" style="220" customWidth="1"/>
    <col min="9" max="9" width="9.6640625" style="220" customWidth="1"/>
    <col min="10" max="10" width="8.6640625" style="221" customWidth="1"/>
    <col min="11" max="11" width="6" style="221" customWidth="1"/>
    <col min="12" max="12" width="5.6640625" style="221" customWidth="1"/>
    <col min="13" max="13" width="6" style="221" customWidth="1"/>
    <col min="14" max="14" width="2.44140625" style="221" customWidth="1"/>
    <col min="15" max="15" width="4" style="221" customWidth="1"/>
    <col min="16" max="16" width="4.6640625" style="222" customWidth="1"/>
    <col min="17" max="17" width="13.5546875" style="221" customWidth="1"/>
    <col min="18" max="18" width="2" style="221" customWidth="1"/>
    <col min="19" max="20" width="9.109375" style="271"/>
    <col min="21" max="75" width="9.109375" style="272"/>
    <col min="76" max="77" width="9.109375" style="183"/>
    <col min="78" max="89" width="9.109375" style="223"/>
  </cols>
  <sheetData>
    <row r="1" spans="1:89" s="219" customFormat="1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71"/>
      <c r="T1" s="271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183"/>
      <c r="BY1" s="183"/>
    </row>
    <row r="2" spans="1:89" ht="17.25" customHeight="1">
      <c r="A2" s="3"/>
      <c r="B2" s="231"/>
      <c r="C2" s="231"/>
      <c r="D2" s="231"/>
      <c r="E2" s="231"/>
      <c r="F2" s="231"/>
      <c r="G2" s="256" t="s">
        <v>57</v>
      </c>
      <c r="H2" s="232"/>
      <c r="I2" s="57"/>
      <c r="J2" s="233"/>
      <c r="K2" s="231"/>
      <c r="L2" s="233"/>
      <c r="M2" s="233"/>
      <c r="N2" s="233"/>
      <c r="O2" s="233"/>
      <c r="P2" s="234"/>
      <c r="Q2" s="233"/>
      <c r="R2" s="3"/>
      <c r="U2" s="333"/>
      <c r="V2" s="334"/>
      <c r="W2" s="335" t="s">
        <v>74</v>
      </c>
      <c r="X2" s="336" t="s">
        <v>70</v>
      </c>
      <c r="Y2" s="337" t="str">
        <f>IF(D9&gt;0,"crescente",IF(D9&lt;0,"decrescente","constante"))</f>
        <v>crescente</v>
      </c>
      <c r="Z2" s="334"/>
      <c r="AA2" s="333"/>
    </row>
    <row r="3" spans="1:89" ht="0.75" customHeight="1">
      <c r="A3" s="3"/>
      <c r="B3" s="1"/>
      <c r="C3" s="1"/>
      <c r="D3" s="233"/>
      <c r="E3" s="233"/>
      <c r="F3" s="233"/>
      <c r="G3" s="57"/>
      <c r="H3" s="57"/>
      <c r="I3" s="57"/>
      <c r="J3" s="233"/>
      <c r="K3" s="233"/>
      <c r="L3" s="233"/>
      <c r="M3" s="233"/>
      <c r="N3" s="233"/>
      <c r="O3" s="233"/>
      <c r="P3" s="234"/>
      <c r="Q3" s="233"/>
      <c r="R3" s="3"/>
    </row>
    <row r="4" spans="1:89">
      <c r="A4" s="3"/>
      <c r="B4" s="231"/>
      <c r="C4" s="58" t="s">
        <v>58</v>
      </c>
      <c r="D4" s="235"/>
      <c r="E4" s="235"/>
      <c r="F4" s="235"/>
      <c r="G4" s="236"/>
      <c r="H4" s="236"/>
      <c r="I4" s="236"/>
      <c r="J4" s="235"/>
      <c r="K4" s="235"/>
      <c r="L4" s="235"/>
      <c r="M4" s="237"/>
      <c r="N4" s="105"/>
      <c r="O4" s="105"/>
      <c r="P4" s="57"/>
      <c r="Q4" s="105"/>
      <c r="R4" s="3"/>
      <c r="S4" s="273"/>
      <c r="T4" s="273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</row>
    <row r="5" spans="1:89" ht="14.25" customHeight="1">
      <c r="A5" s="3"/>
      <c r="B5" s="231"/>
      <c r="C5" s="105" t="s">
        <v>59</v>
      </c>
      <c r="D5" s="105"/>
      <c r="E5" s="105"/>
      <c r="F5" s="105"/>
      <c r="G5" s="57"/>
      <c r="H5" s="57"/>
      <c r="I5" s="57"/>
      <c r="J5" s="105"/>
      <c r="K5" s="105"/>
      <c r="L5" s="105"/>
      <c r="M5" s="238"/>
      <c r="N5" s="238"/>
      <c r="O5" s="239"/>
      <c r="P5" s="240"/>
      <c r="Q5" s="241"/>
      <c r="R5" s="3"/>
    </row>
    <row r="6" spans="1:89" ht="15.75" customHeight="1">
      <c r="A6" s="3"/>
      <c r="B6" s="231"/>
      <c r="C6" s="242" t="s">
        <v>60</v>
      </c>
      <c r="D6" s="242"/>
      <c r="E6" s="242"/>
      <c r="F6" s="242"/>
      <c r="G6" s="243"/>
      <c r="H6" s="243"/>
      <c r="I6" s="243"/>
      <c r="J6" s="242"/>
      <c r="K6" s="242"/>
      <c r="L6" s="242"/>
      <c r="M6" s="105"/>
      <c r="N6" s="244"/>
      <c r="O6" s="239"/>
      <c r="P6" s="240"/>
      <c r="Q6" s="241"/>
      <c r="R6" s="3"/>
      <c r="S6" s="275"/>
      <c r="T6" s="275"/>
    </row>
    <row r="7" spans="1:89" s="219" customFormat="1" ht="12.75" customHeight="1">
      <c r="A7" s="3"/>
      <c r="B7" s="231"/>
      <c r="C7" s="233" t="s">
        <v>61</v>
      </c>
      <c r="D7" s="233"/>
      <c r="E7" s="233"/>
      <c r="F7" s="233"/>
      <c r="G7" s="57"/>
      <c r="H7" s="57"/>
      <c r="I7" s="57"/>
      <c r="J7" s="233"/>
      <c r="K7" s="233"/>
      <c r="L7" s="233"/>
      <c r="M7" s="233"/>
      <c r="N7" s="231"/>
      <c r="O7" s="231"/>
      <c r="P7" s="231"/>
      <c r="Q7" s="231"/>
      <c r="R7" s="3"/>
      <c r="S7" s="271"/>
      <c r="T7" s="271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183"/>
      <c r="BY7" s="18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</row>
    <row r="8" spans="1:89" s="225" customFormat="1" ht="2.25" customHeight="1" thickBot="1">
      <c r="A8" s="3"/>
      <c r="B8" s="231"/>
      <c r="C8" s="1"/>
      <c r="D8" s="233"/>
      <c r="E8" s="233"/>
      <c r="F8" s="233"/>
      <c r="G8" s="57"/>
      <c r="H8" s="57"/>
      <c r="I8" s="57"/>
      <c r="J8" s="233"/>
      <c r="K8" s="245"/>
      <c r="L8" s="245"/>
      <c r="M8" s="245"/>
      <c r="N8" s="245"/>
      <c r="O8" s="231"/>
      <c r="P8" s="231"/>
      <c r="Q8" s="231"/>
      <c r="R8" s="3"/>
      <c r="S8" s="271"/>
      <c r="T8" s="271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3"/>
      <c r="BY8" s="273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</row>
    <row r="9" spans="1:89" ht="17.25" customHeight="1" thickBot="1">
      <c r="A9" s="3"/>
      <c r="B9" s="231"/>
      <c r="C9" s="246" t="s">
        <v>62</v>
      </c>
      <c r="D9" s="338">
        <v>2</v>
      </c>
      <c r="E9" s="247"/>
      <c r="F9" s="248" t="s">
        <v>63</v>
      </c>
      <c r="G9" s="249"/>
      <c r="H9" s="249"/>
      <c r="I9" s="250"/>
      <c r="J9" s="251"/>
      <c r="K9" s="339">
        <v>-1</v>
      </c>
      <c r="L9" s="5" t="s">
        <v>64</v>
      </c>
      <c r="M9" s="231"/>
      <c r="N9" s="245"/>
      <c r="O9" s="231"/>
      <c r="P9" s="231"/>
      <c r="Q9" s="231"/>
      <c r="R9" s="3"/>
    </row>
    <row r="10" spans="1:89" s="227" customFormat="1" ht="17.25" customHeight="1" thickBot="1">
      <c r="A10" s="3"/>
      <c r="B10" s="231"/>
      <c r="C10" s="246" t="s">
        <v>65</v>
      </c>
      <c r="D10" s="338">
        <v>4</v>
      </c>
      <c r="E10" s="247"/>
      <c r="F10" s="248" t="s">
        <v>66</v>
      </c>
      <c r="G10" s="249"/>
      <c r="H10" s="249"/>
      <c r="I10" s="250"/>
      <c r="J10" s="251"/>
      <c r="K10" s="339">
        <v>10</v>
      </c>
      <c r="L10" s="5" t="s">
        <v>67</v>
      </c>
      <c r="M10" s="233"/>
      <c r="N10" s="231"/>
      <c r="O10" s="231"/>
      <c r="P10" s="231"/>
      <c r="Q10" s="231"/>
      <c r="R10" s="3"/>
      <c r="S10" s="271"/>
      <c r="T10" s="271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6"/>
      <c r="BY10" s="27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</row>
    <row r="11" spans="1:89" ht="17.25" customHeight="1">
      <c r="A11" s="3"/>
      <c r="B11" s="1"/>
      <c r="C11" s="252" t="s">
        <v>68</v>
      </c>
      <c r="D11" s="253">
        <f>D$9</f>
        <v>2</v>
      </c>
      <c r="E11" s="254" t="s">
        <v>1</v>
      </c>
      <c r="F11" s="255" t="str">
        <f>IF($D$10&gt;0,"+"," - ")</f>
        <v>+</v>
      </c>
      <c r="G11" s="256">
        <f>ABS(D$10)</f>
        <v>4</v>
      </c>
      <c r="H11" s="256"/>
      <c r="I11" s="57"/>
      <c r="J11" s="257"/>
      <c r="K11" s="233"/>
      <c r="L11" s="257"/>
      <c r="M11" s="233"/>
      <c r="N11" s="231"/>
      <c r="O11" s="231"/>
      <c r="P11" s="231"/>
      <c r="Q11" s="231"/>
      <c r="R11" s="3"/>
    </row>
    <row r="12" spans="1:89" ht="2.25" customHeight="1">
      <c r="A12" s="3"/>
      <c r="B12" s="258"/>
      <c r="C12" s="259"/>
      <c r="D12" s="260"/>
      <c r="E12" s="260"/>
      <c r="F12" s="261"/>
      <c r="G12" s="262"/>
      <c r="H12" s="262"/>
      <c r="I12" s="263"/>
      <c r="J12" s="264"/>
      <c r="K12" s="264"/>
      <c r="L12" s="264"/>
      <c r="M12" s="264"/>
      <c r="N12" s="264"/>
      <c r="O12" s="264"/>
      <c r="P12" s="265"/>
      <c r="Q12" s="264"/>
      <c r="R12" s="3"/>
      <c r="S12" s="277"/>
      <c r="T12" s="277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</row>
    <row r="13" spans="1:89" ht="18" customHeight="1">
      <c r="A13" s="3"/>
      <c r="B13" s="57" t="s">
        <v>69</v>
      </c>
      <c r="C13" s="1"/>
      <c r="D13" s="233"/>
      <c r="E13" s="233"/>
      <c r="F13" s="233"/>
      <c r="G13" s="57"/>
      <c r="H13" s="57"/>
      <c r="I13" s="57"/>
      <c r="J13" s="233" t="s">
        <v>73</v>
      </c>
      <c r="K13" s="233"/>
      <c r="L13" s="233"/>
      <c r="M13" s="266"/>
      <c r="N13" s="253" t="str">
        <f>C14</f>
        <v>y1 =2x+4</v>
      </c>
      <c r="O13" s="246"/>
      <c r="P13" s="234"/>
      <c r="Q13" s="267"/>
      <c r="R13" s="3"/>
    </row>
    <row r="14" spans="1:89" ht="15.75" customHeight="1">
      <c r="A14" s="3"/>
      <c r="B14" s="268" t="s">
        <v>1</v>
      </c>
      <c r="C14" s="743" t="str">
        <f>CONCATENATE(C11,D11,E11,F11,G11)</f>
        <v>y1 =2x+4</v>
      </c>
      <c r="D14" s="744"/>
      <c r="E14" s="745"/>
      <c r="F14" s="325" t="str">
        <f>C14</f>
        <v>y1 =2x+4</v>
      </c>
      <c r="G14" s="233"/>
      <c r="H14" s="233"/>
      <c r="I14" s="233"/>
      <c r="J14" s="233"/>
      <c r="K14" s="233"/>
      <c r="L14" s="233"/>
      <c r="M14" s="233"/>
      <c r="N14" s="233"/>
      <c r="O14" s="233"/>
      <c r="P14" s="234"/>
      <c r="Q14" s="233"/>
      <c r="R14" s="3"/>
    </row>
    <row r="15" spans="1:89" ht="15.75" customHeight="1">
      <c r="A15" s="3"/>
      <c r="B15" s="269">
        <f>K9</f>
        <v>-1</v>
      </c>
      <c r="C15" s="740" t="str">
        <f t="shared" ref="C15:C25" si="0">CONCATENATE(D$9,"*(",B15,")",F$11,G$11,"=")</f>
        <v>2*(-1)+4=</v>
      </c>
      <c r="D15" s="741"/>
      <c r="E15" s="742"/>
      <c r="F15" s="270">
        <f t="shared" ref="F15:F25" si="1">D$9*B15+D$10</f>
        <v>2</v>
      </c>
      <c r="G15" s="233"/>
      <c r="H15" s="233"/>
      <c r="I15" s="233"/>
      <c r="J15" s="233"/>
      <c r="K15" s="233"/>
      <c r="L15" s="233"/>
      <c r="M15" s="233"/>
      <c r="N15" s="233"/>
      <c r="O15" s="233"/>
      <c r="P15" s="234"/>
      <c r="Q15" s="233"/>
      <c r="R15" s="3"/>
    </row>
    <row r="16" spans="1:89" s="229" customFormat="1" ht="15.75" customHeight="1">
      <c r="A16" s="3"/>
      <c r="B16" s="269">
        <f t="shared" ref="B16:B25" si="2">B15+(K$10-K$9)/10</f>
        <v>0.10000000000000009</v>
      </c>
      <c r="C16" s="740" t="str">
        <f t="shared" si="0"/>
        <v>2*(0,1)+4=</v>
      </c>
      <c r="D16" s="741"/>
      <c r="E16" s="742"/>
      <c r="F16" s="270">
        <f t="shared" si="1"/>
        <v>4.2</v>
      </c>
      <c r="G16" s="233"/>
      <c r="H16" s="233"/>
      <c r="I16" s="233"/>
      <c r="J16" s="233"/>
      <c r="K16" s="233"/>
      <c r="L16" s="233"/>
      <c r="M16" s="233"/>
      <c r="N16" s="233"/>
      <c r="O16" s="233"/>
      <c r="P16" s="234"/>
      <c r="Q16" s="233"/>
      <c r="R16" s="3"/>
      <c r="S16" s="271"/>
      <c r="T16" s="271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</row>
    <row r="17" spans="1:77" ht="15.75" customHeight="1">
      <c r="A17" s="3"/>
      <c r="B17" s="269">
        <f t="shared" si="2"/>
        <v>1.2000000000000002</v>
      </c>
      <c r="C17" s="740" t="str">
        <f t="shared" si="0"/>
        <v>2*(1,2)+4=</v>
      </c>
      <c r="D17" s="741"/>
      <c r="E17" s="742"/>
      <c r="F17" s="270">
        <f t="shared" si="1"/>
        <v>6.4</v>
      </c>
      <c r="G17" s="233"/>
      <c r="H17" s="233"/>
      <c r="I17" s="233"/>
      <c r="J17" s="233"/>
      <c r="K17" s="233"/>
      <c r="L17" s="233"/>
      <c r="M17" s="233"/>
      <c r="N17" s="233"/>
      <c r="O17" s="233"/>
      <c r="P17" s="234"/>
      <c r="Q17" s="233"/>
      <c r="R17" s="3"/>
    </row>
    <row r="18" spans="1:77" ht="15.75" customHeight="1">
      <c r="A18" s="3"/>
      <c r="B18" s="269">
        <f t="shared" si="2"/>
        <v>2.3000000000000003</v>
      </c>
      <c r="C18" s="740" t="str">
        <f t="shared" si="0"/>
        <v>2*(2,3)+4=</v>
      </c>
      <c r="D18" s="741"/>
      <c r="E18" s="742"/>
      <c r="F18" s="270">
        <f t="shared" si="1"/>
        <v>8.6000000000000014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4"/>
      <c r="Q18" s="233"/>
      <c r="R18" s="3"/>
    </row>
    <row r="19" spans="1:77" ht="15.75" customHeight="1">
      <c r="A19" s="3"/>
      <c r="B19" s="269">
        <f t="shared" si="2"/>
        <v>3.4000000000000004</v>
      </c>
      <c r="C19" s="740" t="str">
        <f t="shared" si="0"/>
        <v>2*(3,4)+4=</v>
      </c>
      <c r="D19" s="741"/>
      <c r="E19" s="742"/>
      <c r="F19" s="270">
        <f t="shared" si="1"/>
        <v>10.8</v>
      </c>
      <c r="G19" s="233"/>
      <c r="H19" s="233"/>
      <c r="I19" s="233"/>
      <c r="J19" s="233"/>
      <c r="K19" s="233"/>
      <c r="L19" s="233"/>
      <c r="M19" s="233"/>
      <c r="N19" s="233"/>
      <c r="O19" s="233"/>
      <c r="P19" s="234"/>
      <c r="Q19" s="233"/>
      <c r="R19" s="3"/>
    </row>
    <row r="20" spans="1:77" ht="15.75" customHeight="1">
      <c r="A20" s="3"/>
      <c r="B20" s="269">
        <f t="shared" si="2"/>
        <v>4.5</v>
      </c>
      <c r="C20" s="740" t="str">
        <f t="shared" si="0"/>
        <v>2*(4,5)+4=</v>
      </c>
      <c r="D20" s="741"/>
      <c r="E20" s="742"/>
      <c r="F20" s="270">
        <f t="shared" si="1"/>
        <v>13</v>
      </c>
      <c r="G20" s="233"/>
      <c r="H20" s="233"/>
      <c r="I20" s="233"/>
      <c r="J20" s="233"/>
      <c r="K20" s="233"/>
      <c r="L20" s="233"/>
      <c r="M20" s="233"/>
      <c r="N20" s="233"/>
      <c r="O20" s="233"/>
      <c r="P20" s="234"/>
      <c r="Q20" s="233"/>
      <c r="R20" s="3"/>
    </row>
    <row r="21" spans="1:77" ht="15.75" customHeight="1">
      <c r="A21" s="3"/>
      <c r="B21" s="269">
        <f t="shared" si="2"/>
        <v>5.6</v>
      </c>
      <c r="C21" s="740" t="str">
        <f t="shared" si="0"/>
        <v>2*(5,6)+4=</v>
      </c>
      <c r="D21" s="741"/>
      <c r="E21" s="742"/>
      <c r="F21" s="270">
        <f t="shared" si="1"/>
        <v>15.2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4"/>
      <c r="Q21" s="233"/>
      <c r="R21" s="3"/>
    </row>
    <row r="22" spans="1:77" ht="15.75" customHeight="1">
      <c r="A22" s="3"/>
      <c r="B22" s="269">
        <f t="shared" si="2"/>
        <v>6.6999999999999993</v>
      </c>
      <c r="C22" s="740" t="str">
        <f t="shared" si="0"/>
        <v>2*(6,7)+4=</v>
      </c>
      <c r="D22" s="741"/>
      <c r="E22" s="742"/>
      <c r="F22" s="270">
        <f t="shared" si="1"/>
        <v>17.399999999999999</v>
      </c>
      <c r="G22" s="233"/>
      <c r="H22" s="233"/>
      <c r="I22" s="233"/>
      <c r="J22" s="233"/>
      <c r="K22" s="233"/>
      <c r="L22" s="233"/>
      <c r="M22" s="233"/>
      <c r="N22" s="233"/>
      <c r="O22" s="233"/>
      <c r="P22" s="234"/>
      <c r="Q22" s="233"/>
      <c r="R22" s="3"/>
    </row>
    <row r="23" spans="1:77" ht="15.75" customHeight="1">
      <c r="A23" s="3"/>
      <c r="B23" s="269">
        <f t="shared" si="2"/>
        <v>7.7999999999999989</v>
      </c>
      <c r="C23" s="740" t="str">
        <f t="shared" si="0"/>
        <v>2*(7,8)+4=</v>
      </c>
      <c r="D23" s="741"/>
      <c r="E23" s="742"/>
      <c r="F23" s="270">
        <f t="shared" si="1"/>
        <v>19.599999999999998</v>
      </c>
      <c r="G23" s="233"/>
      <c r="H23" s="233"/>
      <c r="I23" s="233"/>
      <c r="J23" s="233"/>
      <c r="K23" s="233"/>
      <c r="L23" s="233"/>
      <c r="M23" s="233"/>
      <c r="N23" s="233"/>
      <c r="O23" s="233"/>
      <c r="P23" s="234"/>
      <c r="Q23" s="233"/>
      <c r="R23" s="3"/>
    </row>
    <row r="24" spans="1:77" ht="15.75" customHeight="1">
      <c r="A24" s="3"/>
      <c r="B24" s="269">
        <f t="shared" si="2"/>
        <v>8.8999999999999986</v>
      </c>
      <c r="C24" s="740" t="str">
        <f t="shared" si="0"/>
        <v>2*(8,9)+4=</v>
      </c>
      <c r="D24" s="741"/>
      <c r="E24" s="742"/>
      <c r="F24" s="270">
        <f t="shared" si="1"/>
        <v>21.799999999999997</v>
      </c>
      <c r="G24" s="233"/>
      <c r="H24" s="233"/>
      <c r="I24" s="233"/>
      <c r="J24" s="233"/>
      <c r="K24" s="233"/>
      <c r="L24" s="233"/>
      <c r="M24" s="233"/>
      <c r="N24" s="233"/>
      <c r="O24" s="233"/>
      <c r="P24" s="234"/>
      <c r="Q24" s="233"/>
      <c r="R24" s="3"/>
    </row>
    <row r="25" spans="1:77" ht="15.75" customHeight="1">
      <c r="A25" s="3"/>
      <c r="B25" s="269">
        <f t="shared" si="2"/>
        <v>9.9999999999999982</v>
      </c>
      <c r="C25" s="740" t="str">
        <f t="shared" si="0"/>
        <v>2*(10)+4=</v>
      </c>
      <c r="D25" s="741"/>
      <c r="E25" s="742"/>
      <c r="F25" s="270">
        <f t="shared" si="1"/>
        <v>23.999999999999996</v>
      </c>
      <c r="G25" s="57"/>
      <c r="H25" s="57"/>
      <c r="I25" s="57"/>
      <c r="J25" s="233"/>
      <c r="K25" s="233"/>
      <c r="L25" s="233"/>
      <c r="M25" s="233"/>
      <c r="N25" s="233"/>
      <c r="O25" s="233"/>
      <c r="P25" s="234"/>
      <c r="Q25" s="233"/>
      <c r="R25" s="3"/>
    </row>
    <row r="26" spans="1:77" ht="15.75" customHeight="1">
      <c r="A26" s="3"/>
      <c r="B26" s="328" t="s">
        <v>71</v>
      </c>
      <c r="C26" s="192"/>
      <c r="D26" s="329">
        <f>IF(D10&lt;&gt;0,-D$10/D$9," A função não tem raíz")</f>
        <v>-2</v>
      </c>
      <c r="E26" s="330"/>
      <c r="F26" s="233"/>
      <c r="G26" s="57"/>
      <c r="H26" s="57"/>
      <c r="I26" s="331" t="str">
        <f>CONCATENATE(V2,"  ",W2,"  ",X2,"  ",Y2,".  ",)</f>
        <v xml:space="preserve">  y1  é uma  função  crescente.  </v>
      </c>
      <c r="J26" s="332"/>
      <c r="K26" s="332"/>
      <c r="L26" s="332"/>
      <c r="M26" s="332"/>
      <c r="N26" s="233"/>
      <c r="O26" s="233"/>
      <c r="P26" s="234"/>
      <c r="Q26" s="233"/>
      <c r="R26" s="3"/>
    </row>
    <row r="27" spans="1:77" ht="6.75" customHeight="1">
      <c r="A27" s="3"/>
      <c r="B27" s="1"/>
      <c r="C27" s="1"/>
      <c r="D27" s="233"/>
      <c r="E27" s="233"/>
      <c r="F27" s="233"/>
      <c r="G27" s="57"/>
      <c r="H27" s="57"/>
      <c r="I27" s="57"/>
      <c r="J27" s="233"/>
      <c r="K27" s="233"/>
      <c r="L27" s="233"/>
      <c r="M27" s="233"/>
      <c r="N27" s="233"/>
      <c r="O27" s="233"/>
      <c r="P27" s="234"/>
      <c r="Q27" s="233"/>
      <c r="R27" s="3"/>
    </row>
    <row r="28" spans="1:77" s="219" customFormat="1" ht="10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71"/>
      <c r="T28" s="271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183"/>
      <c r="BY28" s="183"/>
    </row>
    <row r="29" spans="1:77" s="183" customFormat="1" ht="15.75" customHeight="1">
      <c r="A29" s="279"/>
      <c r="B29" s="280"/>
      <c r="C29" s="281"/>
      <c r="D29" s="282"/>
      <c r="E29" s="282"/>
      <c r="F29" s="282"/>
      <c r="G29" s="283"/>
      <c r="H29" s="283"/>
      <c r="I29" s="283"/>
      <c r="J29" s="282"/>
      <c r="K29" s="282"/>
      <c r="L29" s="282"/>
      <c r="M29" s="282"/>
      <c r="N29" s="282"/>
      <c r="O29" s="282"/>
      <c r="P29" s="283"/>
      <c r="Q29" s="282"/>
      <c r="R29" s="279"/>
      <c r="S29" s="271"/>
      <c r="T29" s="271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</row>
    <row r="30" spans="1:77" s="183" customFormat="1" ht="15.75" customHeight="1">
      <c r="A30" s="279"/>
      <c r="B30" s="281"/>
      <c r="C30" s="281"/>
      <c r="D30" s="282"/>
      <c r="E30" s="282"/>
      <c r="F30" s="282"/>
      <c r="G30" s="283"/>
      <c r="H30" s="283"/>
      <c r="I30" s="283"/>
      <c r="J30" s="282"/>
      <c r="K30" s="282"/>
      <c r="L30" s="282"/>
      <c r="M30" s="282"/>
      <c r="N30" s="282"/>
      <c r="O30" s="282"/>
      <c r="P30" s="283"/>
      <c r="Q30" s="282"/>
      <c r="R30" s="279"/>
      <c r="S30" s="271"/>
      <c r="T30" s="271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</row>
    <row r="31" spans="1:77" s="183" customFormat="1" ht="15.75" customHeight="1">
      <c r="A31" s="279"/>
      <c r="B31" s="284"/>
      <c r="C31" s="285"/>
      <c r="D31" s="286"/>
      <c r="E31" s="282"/>
      <c r="F31" s="287"/>
      <c r="G31" s="288"/>
      <c r="H31" s="289"/>
      <c r="I31" s="290"/>
      <c r="J31" s="291"/>
      <c r="K31" s="292"/>
      <c r="L31" s="280"/>
      <c r="M31" s="293"/>
      <c r="N31" s="294"/>
      <c r="O31" s="286"/>
      <c r="P31" s="280"/>
      <c r="Q31" s="282"/>
      <c r="R31" s="279"/>
      <c r="S31" s="271"/>
      <c r="T31" s="271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</row>
    <row r="32" spans="1:77" s="183" customFormat="1" ht="15.75" customHeight="1">
      <c r="A32" s="279"/>
      <c r="B32" s="284"/>
      <c r="C32" s="285"/>
      <c r="D32" s="295"/>
      <c r="E32" s="286"/>
      <c r="F32" s="287"/>
      <c r="G32" s="288"/>
      <c r="H32" s="289"/>
      <c r="I32" s="290"/>
      <c r="J32" s="291"/>
      <c r="K32" s="292"/>
      <c r="L32" s="282"/>
      <c r="M32" s="280"/>
      <c r="N32" s="294"/>
      <c r="O32" s="286"/>
      <c r="P32" s="280"/>
      <c r="Q32" s="282"/>
      <c r="R32" s="279"/>
      <c r="S32" s="271"/>
      <c r="T32" s="271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</row>
    <row r="33" spans="1:75" s="183" customFormat="1" ht="15.75" customHeight="1">
      <c r="A33" s="279"/>
      <c r="B33" s="296"/>
      <c r="C33" s="297"/>
      <c r="D33" s="298"/>
      <c r="E33" s="299"/>
      <c r="F33" s="300"/>
      <c r="G33" s="300"/>
      <c r="H33" s="283"/>
      <c r="I33" s="301"/>
      <c r="J33" s="282"/>
      <c r="K33" s="301"/>
      <c r="L33" s="282"/>
      <c r="M33" s="280"/>
      <c r="N33" s="280"/>
      <c r="O33" s="280"/>
      <c r="P33" s="280"/>
      <c r="Q33" s="282"/>
      <c r="R33" s="279"/>
      <c r="S33" s="271"/>
      <c r="T33" s="271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</row>
    <row r="34" spans="1:75" s="183" customFormat="1" ht="15.75" customHeight="1">
      <c r="A34" s="279"/>
      <c r="B34" s="302"/>
      <c r="C34" s="303"/>
      <c r="D34" s="303"/>
      <c r="E34" s="304"/>
      <c r="F34" s="304"/>
      <c r="G34" s="304"/>
      <c r="H34" s="305"/>
      <c r="I34" s="306"/>
      <c r="J34" s="306"/>
      <c r="K34" s="306"/>
      <c r="L34" s="306"/>
      <c r="M34" s="306"/>
      <c r="N34" s="306"/>
      <c r="O34" s="305"/>
      <c r="P34" s="306"/>
      <c r="Q34" s="306"/>
      <c r="R34" s="279"/>
      <c r="S34" s="271"/>
      <c r="T34" s="271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</row>
    <row r="35" spans="1:75" s="183" customFormat="1" ht="15.75" customHeight="1">
      <c r="A35" s="279"/>
      <c r="B35" s="281"/>
      <c r="C35" s="283"/>
      <c r="D35" s="283"/>
      <c r="E35" s="283"/>
      <c r="F35" s="282"/>
      <c r="G35" s="282"/>
      <c r="H35" s="282"/>
      <c r="I35" s="307"/>
      <c r="J35" s="297"/>
      <c r="K35" s="308"/>
      <c r="L35" s="283"/>
      <c r="M35" s="309"/>
      <c r="N35" s="280"/>
      <c r="O35" s="283"/>
      <c r="P35" s="283"/>
      <c r="Q35" s="282"/>
      <c r="R35" s="279"/>
      <c r="S35" s="271"/>
      <c r="T35" s="271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</row>
    <row r="36" spans="1:75" s="183" customFormat="1" ht="15.75" customHeight="1">
      <c r="A36" s="279"/>
      <c r="B36" s="281"/>
      <c r="C36" s="310"/>
      <c r="D36" s="311"/>
      <c r="E36" s="312"/>
      <c r="F36" s="313"/>
      <c r="G36" s="314"/>
      <c r="H36" s="282"/>
      <c r="I36" s="282"/>
      <c r="J36" s="282"/>
      <c r="K36" s="282"/>
      <c r="L36" s="283"/>
      <c r="M36" s="282"/>
      <c r="N36" s="280"/>
      <c r="O36" s="283"/>
      <c r="P36" s="283"/>
      <c r="Q36" s="282"/>
      <c r="R36" s="279"/>
      <c r="S36" s="271"/>
      <c r="T36" s="271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</row>
    <row r="37" spans="1:75" s="183" customFormat="1" ht="15.75" customHeight="1">
      <c r="A37" s="279"/>
      <c r="B37" s="281"/>
      <c r="C37" s="315"/>
      <c r="D37" s="316"/>
      <c r="E37" s="317"/>
      <c r="F37" s="318"/>
      <c r="G37" s="319"/>
      <c r="H37" s="282"/>
      <c r="I37" s="282"/>
      <c r="J37" s="282"/>
      <c r="K37" s="282"/>
      <c r="L37" s="283"/>
      <c r="M37" s="282"/>
      <c r="N37" s="280"/>
      <c r="O37" s="281"/>
      <c r="P37" s="281"/>
      <c r="Q37" s="281"/>
      <c r="R37" s="279"/>
      <c r="S37" s="271"/>
      <c r="T37" s="271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</row>
    <row r="38" spans="1:75" s="183" customFormat="1" ht="15.75" customHeight="1">
      <c r="A38" s="279"/>
      <c r="B38" s="281"/>
      <c r="C38" s="315"/>
      <c r="D38" s="316"/>
      <c r="E38" s="317"/>
      <c r="F38" s="318"/>
      <c r="G38" s="319"/>
      <c r="H38" s="282"/>
      <c r="I38" s="282"/>
      <c r="J38" s="282"/>
      <c r="K38" s="282"/>
      <c r="L38" s="283"/>
      <c r="M38" s="282"/>
      <c r="N38" s="280"/>
      <c r="O38" s="283"/>
      <c r="P38" s="283"/>
      <c r="Q38" s="282"/>
      <c r="R38" s="279"/>
      <c r="S38" s="271"/>
      <c r="T38" s="271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2"/>
      <c r="BV38" s="272"/>
      <c r="BW38" s="272"/>
    </row>
    <row r="39" spans="1:75" s="183" customFormat="1" ht="15.75" customHeight="1">
      <c r="A39" s="279"/>
      <c r="B39" s="281"/>
      <c r="C39" s="315"/>
      <c r="D39" s="316"/>
      <c r="E39" s="317"/>
      <c r="F39" s="318"/>
      <c r="G39" s="319"/>
      <c r="H39" s="282"/>
      <c r="I39" s="282"/>
      <c r="J39" s="282"/>
      <c r="K39" s="282"/>
      <c r="L39" s="283"/>
      <c r="M39" s="282"/>
      <c r="N39" s="280"/>
      <c r="O39" s="283"/>
      <c r="P39" s="283"/>
      <c r="Q39" s="282"/>
      <c r="R39" s="279"/>
      <c r="S39" s="271"/>
      <c r="T39" s="271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</row>
    <row r="40" spans="1:75" s="183" customFormat="1" ht="15.75" customHeight="1">
      <c r="A40" s="279"/>
      <c r="B40" s="281"/>
      <c r="C40" s="315"/>
      <c r="D40" s="316"/>
      <c r="E40" s="317"/>
      <c r="F40" s="318"/>
      <c r="G40" s="319"/>
      <c r="H40" s="282"/>
      <c r="I40" s="282"/>
      <c r="J40" s="282"/>
      <c r="K40" s="282"/>
      <c r="L40" s="283"/>
      <c r="M40" s="282"/>
      <c r="N40" s="282"/>
      <c r="O40" s="283"/>
      <c r="P40" s="283"/>
      <c r="Q40" s="282"/>
      <c r="R40" s="279"/>
      <c r="S40" s="271"/>
      <c r="T40" s="271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</row>
    <row r="41" spans="1:75" s="183" customFormat="1" ht="15.75" customHeight="1">
      <c r="A41" s="279"/>
      <c r="B41" s="281"/>
      <c r="C41" s="315"/>
      <c r="D41" s="316"/>
      <c r="E41" s="317"/>
      <c r="F41" s="318"/>
      <c r="G41" s="319"/>
      <c r="H41" s="282"/>
      <c r="I41" s="282"/>
      <c r="J41" s="282"/>
      <c r="K41" s="282"/>
      <c r="L41" s="283"/>
      <c r="M41" s="282"/>
      <c r="N41" s="282"/>
      <c r="O41" s="283"/>
      <c r="P41" s="283"/>
      <c r="Q41" s="282"/>
      <c r="R41" s="279"/>
      <c r="S41" s="271"/>
      <c r="T41" s="271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</row>
    <row r="42" spans="1:75" s="183" customFormat="1" ht="15.75" customHeight="1">
      <c r="A42" s="279"/>
      <c r="B42" s="281"/>
      <c r="C42" s="315"/>
      <c r="D42" s="316"/>
      <c r="E42" s="317"/>
      <c r="F42" s="318"/>
      <c r="G42" s="319"/>
      <c r="H42" s="282"/>
      <c r="I42" s="282"/>
      <c r="J42" s="282"/>
      <c r="K42" s="282"/>
      <c r="L42" s="283"/>
      <c r="M42" s="282"/>
      <c r="N42" s="282"/>
      <c r="O42" s="283"/>
      <c r="P42" s="283"/>
      <c r="Q42" s="282"/>
      <c r="R42" s="279"/>
      <c r="S42" s="271"/>
      <c r="T42" s="271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</row>
    <row r="43" spans="1:75" s="183" customFormat="1" ht="15.75" customHeight="1">
      <c r="A43" s="279"/>
      <c r="B43" s="281"/>
      <c r="C43" s="315"/>
      <c r="D43" s="316"/>
      <c r="E43" s="317"/>
      <c r="F43" s="318"/>
      <c r="G43" s="319"/>
      <c r="H43" s="282"/>
      <c r="I43" s="282"/>
      <c r="J43" s="282"/>
      <c r="K43" s="282"/>
      <c r="L43" s="283"/>
      <c r="M43" s="282"/>
      <c r="N43" s="282"/>
      <c r="O43" s="283"/>
      <c r="P43" s="283"/>
      <c r="Q43" s="282"/>
      <c r="R43" s="279"/>
      <c r="S43" s="271"/>
      <c r="T43" s="271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272"/>
      <c r="BU43" s="272"/>
      <c r="BV43" s="272"/>
      <c r="BW43" s="272"/>
    </row>
    <row r="44" spans="1:75" s="183" customFormat="1" ht="15.75" customHeight="1">
      <c r="A44" s="279"/>
      <c r="B44" s="281"/>
      <c r="C44" s="315"/>
      <c r="D44" s="316"/>
      <c r="E44" s="317"/>
      <c r="F44" s="318"/>
      <c r="G44" s="319"/>
      <c r="H44" s="282"/>
      <c r="I44" s="282"/>
      <c r="J44" s="282"/>
      <c r="K44" s="282"/>
      <c r="L44" s="283"/>
      <c r="M44" s="282"/>
      <c r="N44" s="280"/>
      <c r="O44" s="283"/>
      <c r="P44" s="283"/>
      <c r="Q44" s="282"/>
      <c r="R44" s="279"/>
      <c r="S44" s="271"/>
      <c r="T44" s="271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2"/>
      <c r="BR44" s="272"/>
      <c r="BS44" s="272"/>
      <c r="BT44" s="272"/>
      <c r="BU44" s="272"/>
      <c r="BV44" s="272"/>
      <c r="BW44" s="272"/>
    </row>
    <row r="45" spans="1:75" s="183" customFormat="1" ht="15.75" customHeight="1">
      <c r="A45" s="279"/>
      <c r="B45" s="281"/>
      <c r="C45" s="315"/>
      <c r="D45" s="316"/>
      <c r="E45" s="317"/>
      <c r="F45" s="318"/>
      <c r="G45" s="319"/>
      <c r="H45" s="282"/>
      <c r="I45" s="282"/>
      <c r="J45" s="282"/>
      <c r="K45" s="282"/>
      <c r="L45" s="283"/>
      <c r="M45" s="282"/>
      <c r="N45" s="280"/>
      <c r="O45" s="283"/>
      <c r="P45" s="283"/>
      <c r="Q45" s="282"/>
      <c r="R45" s="279"/>
      <c r="S45" s="271"/>
      <c r="T45" s="271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2"/>
      <c r="BR45" s="272"/>
      <c r="BS45" s="272"/>
      <c r="BT45" s="272"/>
      <c r="BU45" s="272"/>
      <c r="BV45" s="272"/>
      <c r="BW45" s="272"/>
    </row>
    <row r="46" spans="1:75" s="183" customFormat="1" ht="15.75" customHeight="1">
      <c r="A46" s="279"/>
      <c r="B46" s="281"/>
      <c r="C46" s="315"/>
      <c r="D46" s="316"/>
      <c r="E46" s="317"/>
      <c r="F46" s="318"/>
      <c r="G46" s="319"/>
      <c r="H46" s="282"/>
      <c r="I46" s="282"/>
      <c r="J46" s="282"/>
      <c r="K46" s="282"/>
      <c r="L46" s="283"/>
      <c r="M46" s="282"/>
      <c r="N46" s="280"/>
      <c r="O46" s="283"/>
      <c r="P46" s="283"/>
      <c r="Q46" s="282"/>
      <c r="R46" s="279"/>
      <c r="S46" s="271"/>
      <c r="T46" s="271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2"/>
      <c r="BU46" s="272"/>
      <c r="BV46" s="272"/>
      <c r="BW46" s="272"/>
    </row>
    <row r="47" spans="1:75" s="183" customFormat="1" ht="15.75" customHeight="1">
      <c r="A47" s="279"/>
      <c r="B47" s="281"/>
      <c r="C47" s="315"/>
      <c r="D47" s="316"/>
      <c r="E47" s="317"/>
      <c r="F47" s="318"/>
      <c r="G47" s="319"/>
      <c r="H47" s="282"/>
      <c r="I47" s="282"/>
      <c r="J47" s="282"/>
      <c r="K47" s="282"/>
      <c r="L47" s="283"/>
      <c r="M47" s="282"/>
      <c r="N47" s="280"/>
      <c r="O47" s="283"/>
      <c r="P47" s="283"/>
      <c r="Q47" s="282"/>
      <c r="R47" s="279"/>
      <c r="S47" s="271"/>
      <c r="T47" s="271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</row>
    <row r="48" spans="1:75" s="183" customFormat="1">
      <c r="A48" s="279"/>
      <c r="B48" s="281"/>
      <c r="C48" s="317"/>
      <c r="D48" s="317"/>
      <c r="E48" s="317"/>
      <c r="F48" s="282"/>
      <c r="G48" s="282"/>
      <c r="H48" s="282"/>
      <c r="I48" s="282"/>
      <c r="J48" s="282"/>
      <c r="K48" s="282"/>
      <c r="L48" s="283"/>
      <c r="M48" s="282"/>
      <c r="N48" s="280"/>
      <c r="O48" s="283"/>
      <c r="P48" s="283"/>
      <c r="Q48" s="282"/>
      <c r="R48" s="279"/>
      <c r="S48" s="271"/>
      <c r="T48" s="271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</row>
    <row r="49" spans="1:75" s="183" customFormat="1">
      <c r="A49" s="279"/>
      <c r="B49" s="281"/>
      <c r="C49" s="320"/>
      <c r="D49" s="283"/>
      <c r="E49" s="283"/>
      <c r="F49" s="283"/>
      <c r="G49" s="282"/>
      <c r="H49" s="282"/>
      <c r="I49" s="282"/>
      <c r="J49" s="282"/>
      <c r="K49" s="282"/>
      <c r="L49" s="282"/>
      <c r="M49" s="283"/>
      <c r="N49" s="282"/>
      <c r="O49" s="280"/>
      <c r="P49" s="283"/>
      <c r="Q49" s="282"/>
      <c r="R49" s="279"/>
      <c r="S49" s="271"/>
      <c r="T49" s="271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</row>
    <row r="50" spans="1:75" s="183" customFormat="1">
      <c r="A50" s="279"/>
      <c r="B50" s="280"/>
      <c r="C50" s="281"/>
      <c r="D50" s="317"/>
      <c r="E50" s="317"/>
      <c r="F50" s="316"/>
      <c r="G50" s="315"/>
      <c r="H50" s="317"/>
      <c r="I50" s="283"/>
      <c r="J50" s="282"/>
      <c r="K50" s="282"/>
      <c r="L50" s="282"/>
      <c r="M50" s="282"/>
      <c r="N50" s="282"/>
      <c r="O50" s="282"/>
      <c r="P50" s="283"/>
      <c r="Q50" s="282"/>
      <c r="R50" s="279"/>
      <c r="S50" s="271"/>
      <c r="T50" s="271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</row>
    <row r="51" spans="1:75" s="183" customFormat="1" ht="21">
      <c r="A51" s="279"/>
      <c r="B51" s="280"/>
      <c r="C51" s="281"/>
      <c r="D51" s="317"/>
      <c r="E51" s="317"/>
      <c r="F51" s="316"/>
      <c r="G51" s="315"/>
      <c r="H51" s="317"/>
      <c r="I51" s="321"/>
      <c r="J51" s="282"/>
      <c r="K51" s="282"/>
      <c r="L51" s="282"/>
      <c r="M51" s="282"/>
      <c r="N51" s="283"/>
      <c r="O51" s="282"/>
      <c r="P51" s="283"/>
      <c r="Q51" s="282"/>
      <c r="R51" s="279"/>
      <c r="S51" s="271"/>
      <c r="T51" s="271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</row>
    <row r="52" spans="1:75" s="183" customFormat="1" ht="21">
      <c r="A52" s="279"/>
      <c r="B52" s="280"/>
      <c r="C52" s="281"/>
      <c r="D52" s="282"/>
      <c r="E52" s="282"/>
      <c r="F52" s="282"/>
      <c r="G52" s="317"/>
      <c r="H52" s="317"/>
      <c r="I52" s="321"/>
      <c r="J52" s="282"/>
      <c r="K52" s="282"/>
      <c r="L52" s="282"/>
      <c r="M52" s="282"/>
      <c r="N52" s="283"/>
      <c r="O52" s="282"/>
      <c r="P52" s="283"/>
      <c r="Q52" s="282"/>
      <c r="R52" s="279"/>
      <c r="S52" s="271"/>
      <c r="T52" s="271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</row>
    <row r="53" spans="1:75" s="183" customFormat="1" ht="22.8">
      <c r="A53" s="279"/>
      <c r="B53" s="322"/>
      <c r="C53" s="281"/>
      <c r="D53" s="282"/>
      <c r="E53" s="282"/>
      <c r="F53" s="320"/>
      <c r="G53" s="283"/>
      <c r="H53" s="283"/>
      <c r="I53" s="317"/>
      <c r="J53" s="282"/>
      <c r="K53" s="282"/>
      <c r="L53" s="282"/>
      <c r="M53" s="282"/>
      <c r="N53" s="282"/>
      <c r="O53" s="282"/>
      <c r="P53" s="283"/>
      <c r="Q53" s="282"/>
      <c r="R53" s="279"/>
      <c r="S53" s="271"/>
      <c r="T53" s="271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</row>
    <row r="54" spans="1:75" s="183" customFormat="1" ht="22.8">
      <c r="A54" s="279"/>
      <c r="B54" s="322"/>
      <c r="C54" s="281"/>
      <c r="D54" s="282"/>
      <c r="E54" s="282"/>
      <c r="F54" s="309"/>
      <c r="G54" s="283"/>
      <c r="H54" s="283"/>
      <c r="I54" s="283"/>
      <c r="J54" s="282"/>
      <c r="K54" s="282"/>
      <c r="L54" s="282"/>
      <c r="M54" s="282"/>
      <c r="N54" s="282"/>
      <c r="O54" s="282"/>
      <c r="P54" s="283"/>
      <c r="Q54" s="282"/>
      <c r="R54" s="279"/>
      <c r="S54" s="271"/>
      <c r="T54" s="271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</row>
    <row r="55" spans="1:75" s="183" customFormat="1" ht="11.25" customHeight="1">
      <c r="A55" s="279"/>
      <c r="C55" s="281"/>
      <c r="D55" s="282"/>
      <c r="E55" s="282"/>
      <c r="F55" s="282"/>
      <c r="G55" s="283"/>
      <c r="H55" s="283"/>
      <c r="I55" s="283"/>
      <c r="J55" s="282"/>
      <c r="K55" s="282"/>
      <c r="L55" s="282"/>
      <c r="M55" s="282"/>
      <c r="N55" s="282"/>
      <c r="O55" s="282"/>
      <c r="P55" s="283"/>
      <c r="Q55" s="282"/>
      <c r="R55" s="279"/>
      <c r="S55" s="271"/>
      <c r="T55" s="271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</row>
    <row r="56" spans="1:75" s="183" customFormat="1">
      <c r="A56" s="279"/>
      <c r="C56" s="281"/>
      <c r="D56" s="282"/>
      <c r="E56" s="282"/>
      <c r="F56" s="282"/>
      <c r="G56" s="283"/>
      <c r="H56" s="283"/>
      <c r="I56" s="283"/>
      <c r="J56" s="282"/>
      <c r="K56" s="282"/>
      <c r="L56" s="282"/>
      <c r="M56" s="282"/>
      <c r="N56" s="282"/>
      <c r="O56" s="282"/>
      <c r="P56" s="283"/>
      <c r="Q56" s="282"/>
      <c r="R56" s="279"/>
      <c r="S56" s="271"/>
      <c r="T56" s="271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</row>
    <row r="57" spans="1:75" s="183" customFormat="1">
      <c r="A57" s="279"/>
      <c r="C57" s="290"/>
      <c r="D57" s="280"/>
      <c r="E57" s="280"/>
      <c r="F57" s="283"/>
      <c r="G57" s="283"/>
      <c r="H57" s="283"/>
      <c r="I57" s="282"/>
      <c r="J57" s="280"/>
      <c r="K57" s="280"/>
      <c r="L57" s="280"/>
      <c r="M57" s="280"/>
      <c r="N57" s="280"/>
      <c r="O57" s="280"/>
      <c r="P57" s="280"/>
      <c r="Q57" s="282"/>
      <c r="R57" s="279"/>
      <c r="S57" s="271"/>
      <c r="T57" s="271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</row>
    <row r="58" spans="1:75" s="183" customFormat="1">
      <c r="A58" s="279"/>
      <c r="C58" s="272" t="s">
        <v>72</v>
      </c>
      <c r="D58" s="272"/>
      <c r="E58" s="272" t="s">
        <v>72</v>
      </c>
      <c r="F58" s="283"/>
      <c r="G58" s="283"/>
      <c r="H58" s="283"/>
      <c r="I58" s="282"/>
      <c r="J58" s="282"/>
      <c r="K58" s="282"/>
      <c r="L58" s="282"/>
      <c r="M58" s="282"/>
      <c r="N58" s="282"/>
      <c r="O58" s="283"/>
      <c r="P58" s="282"/>
      <c r="Q58" s="271"/>
      <c r="R58" s="279"/>
      <c r="S58" s="271"/>
      <c r="T58" s="271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</row>
    <row r="59" spans="1:75" s="183" customFormat="1">
      <c r="A59" s="279"/>
      <c r="D59" s="271"/>
      <c r="E59" s="271"/>
      <c r="F59" s="271"/>
      <c r="G59" s="283"/>
      <c r="H59" s="283"/>
      <c r="I59" s="283"/>
      <c r="J59" s="271"/>
      <c r="K59" s="271"/>
      <c r="L59" s="271"/>
      <c r="M59" s="271"/>
      <c r="N59" s="271"/>
      <c r="O59" s="271"/>
      <c r="P59" s="323"/>
      <c r="Q59" s="271"/>
      <c r="R59" s="279"/>
      <c r="S59" s="271"/>
      <c r="T59" s="271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</row>
    <row r="60" spans="1:75" s="183" customFormat="1">
      <c r="A60" s="279"/>
      <c r="D60" s="271"/>
      <c r="E60" s="271"/>
      <c r="F60" s="271"/>
      <c r="G60" s="283"/>
      <c r="H60" s="283"/>
      <c r="I60" s="283"/>
      <c r="J60" s="271"/>
      <c r="K60" s="271"/>
      <c r="L60" s="271"/>
      <c r="M60" s="271"/>
      <c r="N60" s="271"/>
      <c r="O60" s="271"/>
      <c r="P60" s="323"/>
      <c r="Q60" s="271"/>
      <c r="R60" s="279"/>
      <c r="S60" s="271"/>
      <c r="T60" s="271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</row>
    <row r="61" spans="1:75" s="183" customFormat="1">
      <c r="A61" s="279"/>
      <c r="D61" s="271"/>
      <c r="E61" s="271"/>
      <c r="F61" s="271"/>
      <c r="G61" s="283"/>
      <c r="H61" s="283"/>
      <c r="I61" s="283"/>
      <c r="J61" s="271"/>
      <c r="K61" s="271"/>
      <c r="L61" s="271"/>
      <c r="M61" s="271"/>
      <c r="N61" s="271"/>
      <c r="O61" s="271"/>
      <c r="P61" s="323"/>
      <c r="Q61" s="271"/>
      <c r="R61" s="279"/>
      <c r="S61" s="271"/>
      <c r="T61" s="271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</row>
    <row r="62" spans="1:75" s="183" customFormat="1">
      <c r="A62" s="279"/>
      <c r="D62" s="271"/>
      <c r="E62" s="271"/>
      <c r="F62" s="271"/>
      <c r="G62" s="283"/>
      <c r="H62" s="283"/>
      <c r="I62" s="283"/>
      <c r="J62" s="271"/>
      <c r="K62" s="271"/>
      <c r="L62" s="271"/>
      <c r="M62" s="271"/>
      <c r="N62" s="271"/>
      <c r="O62" s="271"/>
      <c r="P62" s="323"/>
      <c r="Q62" s="271"/>
      <c r="R62" s="279"/>
      <c r="S62" s="271"/>
      <c r="T62" s="271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</row>
    <row r="63" spans="1:75" s="183" customFormat="1">
      <c r="A63" s="324"/>
      <c r="D63" s="271"/>
      <c r="E63" s="271"/>
      <c r="F63" s="271"/>
      <c r="G63" s="283"/>
      <c r="H63" s="283"/>
      <c r="I63" s="283"/>
      <c r="J63" s="271"/>
      <c r="K63" s="271"/>
      <c r="L63" s="271"/>
      <c r="M63" s="271"/>
      <c r="N63" s="271"/>
      <c r="O63" s="271"/>
      <c r="P63" s="323"/>
      <c r="Q63" s="271"/>
      <c r="R63" s="279"/>
      <c r="S63" s="271"/>
      <c r="T63" s="271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</row>
    <row r="64" spans="1:75" s="183" customFormat="1">
      <c r="A64" s="324"/>
      <c r="D64" s="271"/>
      <c r="E64" s="271"/>
      <c r="F64" s="271"/>
      <c r="G64" s="283"/>
      <c r="H64" s="283"/>
      <c r="I64" s="283"/>
      <c r="J64" s="271"/>
      <c r="K64" s="271"/>
      <c r="L64" s="271"/>
      <c r="M64" s="271"/>
      <c r="N64" s="271"/>
      <c r="O64" s="271"/>
      <c r="P64" s="323"/>
      <c r="Q64" s="271"/>
      <c r="R64" s="279"/>
      <c r="S64" s="271"/>
      <c r="T64" s="271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</row>
    <row r="65" spans="1:75" s="183" customFormat="1">
      <c r="A65" s="324"/>
      <c r="D65" s="271"/>
      <c r="E65" s="271"/>
      <c r="F65" s="271"/>
      <c r="G65" s="283"/>
      <c r="H65" s="283"/>
      <c r="I65" s="283"/>
      <c r="J65" s="271"/>
      <c r="K65" s="271"/>
      <c r="L65" s="271"/>
      <c r="M65" s="271"/>
      <c r="N65" s="271"/>
      <c r="O65" s="271"/>
      <c r="P65" s="323"/>
      <c r="Q65" s="271"/>
      <c r="R65" s="279"/>
      <c r="S65" s="271"/>
      <c r="T65" s="271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</row>
    <row r="66" spans="1:75" s="183" customFormat="1">
      <c r="A66" s="324"/>
      <c r="D66" s="271"/>
      <c r="E66" s="271"/>
      <c r="F66" s="271"/>
      <c r="G66" s="283"/>
      <c r="H66" s="283"/>
      <c r="I66" s="283"/>
      <c r="J66" s="271"/>
      <c r="K66" s="271"/>
      <c r="L66" s="271"/>
      <c r="M66" s="271"/>
      <c r="N66" s="271"/>
      <c r="O66" s="271"/>
      <c r="P66" s="323"/>
      <c r="Q66" s="271"/>
      <c r="R66" s="272"/>
      <c r="S66" s="271"/>
      <c r="T66" s="271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</row>
    <row r="67" spans="1:75" s="183" customFormat="1">
      <c r="A67" s="324"/>
      <c r="D67" s="271"/>
      <c r="E67" s="271"/>
      <c r="F67" s="271"/>
      <c r="G67" s="283"/>
      <c r="H67" s="283"/>
      <c r="I67" s="283"/>
      <c r="J67" s="271"/>
      <c r="K67" s="271"/>
      <c r="L67" s="271"/>
      <c r="M67" s="271"/>
      <c r="N67" s="271"/>
      <c r="O67" s="271"/>
      <c r="P67" s="323"/>
      <c r="Q67" s="271"/>
      <c r="R67" s="272"/>
      <c r="S67" s="271"/>
      <c r="T67" s="271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</row>
    <row r="68" spans="1:75" s="183" customFormat="1">
      <c r="A68" s="324"/>
      <c r="D68" s="271"/>
      <c r="E68" s="271"/>
      <c r="F68" s="271"/>
      <c r="G68" s="283"/>
      <c r="H68" s="283"/>
      <c r="I68" s="283"/>
      <c r="J68" s="271"/>
      <c r="K68" s="271"/>
      <c r="L68" s="271"/>
      <c r="M68" s="271"/>
      <c r="N68" s="271"/>
      <c r="O68" s="271"/>
      <c r="P68" s="323"/>
      <c r="Q68" s="271"/>
      <c r="R68" s="272"/>
      <c r="S68" s="271"/>
      <c r="T68" s="271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</row>
    <row r="69" spans="1:75" s="183" customFormat="1">
      <c r="A69" s="324"/>
      <c r="D69" s="271"/>
      <c r="E69" s="271"/>
      <c r="F69" s="271"/>
      <c r="G69" s="283"/>
      <c r="H69" s="283"/>
      <c r="I69" s="283"/>
      <c r="J69" s="271"/>
      <c r="K69" s="271"/>
      <c r="L69" s="271"/>
      <c r="M69" s="271"/>
      <c r="N69" s="271"/>
      <c r="O69" s="271"/>
      <c r="P69" s="323"/>
      <c r="Q69" s="271"/>
      <c r="R69" s="272"/>
      <c r="S69" s="271"/>
      <c r="T69" s="271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</row>
    <row r="70" spans="1:75" s="183" customFormat="1">
      <c r="A70" s="324"/>
      <c r="D70" s="271"/>
      <c r="E70" s="271"/>
      <c r="F70" s="271"/>
      <c r="G70" s="283"/>
      <c r="H70" s="283"/>
      <c r="I70" s="283"/>
      <c r="J70" s="271"/>
      <c r="K70" s="271"/>
      <c r="L70" s="271"/>
      <c r="M70" s="271"/>
      <c r="N70" s="271"/>
      <c r="O70" s="271"/>
      <c r="P70" s="323"/>
      <c r="Q70" s="271"/>
      <c r="R70" s="272"/>
      <c r="S70" s="271"/>
      <c r="T70" s="271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</row>
    <row r="71" spans="1:75" s="183" customFormat="1">
      <c r="A71" s="324"/>
      <c r="D71" s="271"/>
      <c r="E71" s="271"/>
      <c r="F71" s="271"/>
      <c r="G71" s="283"/>
      <c r="H71" s="283"/>
      <c r="I71" s="283"/>
      <c r="J71" s="271"/>
      <c r="K71" s="271"/>
      <c r="L71" s="271"/>
      <c r="M71" s="271"/>
      <c r="N71" s="271"/>
      <c r="O71" s="271"/>
      <c r="P71" s="323"/>
      <c r="Q71" s="271"/>
      <c r="R71" s="272"/>
      <c r="S71" s="271"/>
      <c r="T71" s="271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</row>
    <row r="72" spans="1:75" s="183" customFormat="1">
      <c r="A72" s="324"/>
      <c r="D72" s="271"/>
      <c r="E72" s="271"/>
      <c r="F72" s="271"/>
      <c r="G72" s="283"/>
      <c r="H72" s="283"/>
      <c r="I72" s="283"/>
      <c r="J72" s="271"/>
      <c r="K72" s="271"/>
      <c r="L72" s="271"/>
      <c r="M72" s="271"/>
      <c r="N72" s="271"/>
      <c r="O72" s="271"/>
      <c r="P72" s="323"/>
      <c r="Q72" s="271"/>
      <c r="R72" s="272"/>
      <c r="S72" s="271"/>
      <c r="T72" s="271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</row>
    <row r="73" spans="1:75" s="183" customFormat="1">
      <c r="A73" s="324"/>
      <c r="D73" s="271"/>
      <c r="E73" s="271"/>
      <c r="F73" s="271"/>
      <c r="G73" s="283"/>
      <c r="H73" s="283"/>
      <c r="I73" s="283"/>
      <c r="J73" s="271"/>
      <c r="K73" s="271"/>
      <c r="L73" s="271"/>
      <c r="M73" s="271"/>
      <c r="N73" s="271"/>
      <c r="O73" s="271"/>
      <c r="P73" s="323"/>
      <c r="Q73" s="271"/>
      <c r="R73" s="272"/>
      <c r="S73" s="271"/>
      <c r="T73" s="271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</row>
    <row r="74" spans="1:75" s="183" customFormat="1">
      <c r="A74" s="324"/>
      <c r="D74" s="271"/>
      <c r="E74" s="271"/>
      <c r="F74" s="271"/>
      <c r="G74" s="283"/>
      <c r="H74" s="283"/>
      <c r="I74" s="283"/>
      <c r="J74" s="271"/>
      <c r="K74" s="271"/>
      <c r="L74" s="271"/>
      <c r="M74" s="271"/>
      <c r="N74" s="271"/>
      <c r="O74" s="271"/>
      <c r="P74" s="323"/>
      <c r="Q74" s="271"/>
      <c r="R74" s="272"/>
      <c r="S74" s="271"/>
      <c r="T74" s="271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</row>
    <row r="75" spans="1:75" s="183" customFormat="1">
      <c r="A75" s="324"/>
      <c r="D75" s="271"/>
      <c r="E75" s="271"/>
      <c r="F75" s="271"/>
      <c r="G75" s="283"/>
      <c r="H75" s="283"/>
      <c r="I75" s="283"/>
      <c r="J75" s="271"/>
      <c r="K75" s="271"/>
      <c r="L75" s="271"/>
      <c r="M75" s="271"/>
      <c r="N75" s="271"/>
      <c r="O75" s="271"/>
      <c r="P75" s="323"/>
      <c r="Q75" s="271"/>
      <c r="R75" s="272"/>
      <c r="S75" s="271"/>
      <c r="T75" s="271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</row>
    <row r="76" spans="1:75" s="183" customFormat="1">
      <c r="A76" s="324"/>
      <c r="D76" s="271"/>
      <c r="E76" s="271"/>
      <c r="F76" s="271"/>
      <c r="G76" s="283"/>
      <c r="H76" s="283"/>
      <c r="I76" s="283"/>
      <c r="J76" s="271"/>
      <c r="K76" s="271"/>
      <c r="L76" s="271"/>
      <c r="M76" s="271"/>
      <c r="N76" s="271"/>
      <c r="O76" s="271"/>
      <c r="P76" s="323"/>
      <c r="Q76" s="271"/>
      <c r="R76" s="272"/>
      <c r="S76" s="271"/>
      <c r="T76" s="271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</row>
    <row r="77" spans="1:75" s="183" customFormat="1">
      <c r="A77" s="324"/>
      <c r="D77" s="271"/>
      <c r="E77" s="271"/>
      <c r="F77" s="271"/>
      <c r="G77" s="283"/>
      <c r="H77" s="283"/>
      <c r="I77" s="283"/>
      <c r="J77" s="271"/>
      <c r="K77" s="271"/>
      <c r="L77" s="271"/>
      <c r="M77" s="271"/>
      <c r="N77" s="271"/>
      <c r="O77" s="271"/>
      <c r="P77" s="323"/>
      <c r="Q77" s="271"/>
      <c r="R77" s="272"/>
      <c r="S77" s="271"/>
      <c r="T77" s="271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</row>
    <row r="78" spans="1:75" s="183" customFormat="1">
      <c r="A78" s="324"/>
      <c r="D78" s="271"/>
      <c r="E78" s="271"/>
      <c r="F78" s="271"/>
      <c r="G78" s="283"/>
      <c r="H78" s="283"/>
      <c r="I78" s="283"/>
      <c r="J78" s="271"/>
      <c r="K78" s="271"/>
      <c r="L78" s="271"/>
      <c r="M78" s="271"/>
      <c r="N78" s="271"/>
      <c r="O78" s="271"/>
      <c r="P78" s="323"/>
      <c r="Q78" s="271"/>
      <c r="R78" s="272"/>
      <c r="S78" s="271"/>
      <c r="T78" s="271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</row>
    <row r="79" spans="1:75" s="183" customFormat="1">
      <c r="A79" s="324"/>
      <c r="D79" s="271"/>
      <c r="E79" s="271"/>
      <c r="F79" s="271"/>
      <c r="G79" s="283"/>
      <c r="H79" s="283"/>
      <c r="I79" s="283"/>
      <c r="J79" s="271"/>
      <c r="K79" s="271"/>
      <c r="L79" s="271"/>
      <c r="M79" s="271"/>
      <c r="N79" s="271"/>
      <c r="O79" s="271"/>
      <c r="P79" s="323"/>
      <c r="Q79" s="271"/>
      <c r="R79" s="272"/>
      <c r="S79" s="271"/>
      <c r="T79" s="271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</row>
    <row r="80" spans="1:75" s="183" customFormat="1">
      <c r="A80" s="324"/>
      <c r="D80" s="271"/>
      <c r="E80" s="271"/>
      <c r="F80" s="271"/>
      <c r="G80" s="283"/>
      <c r="H80" s="283"/>
      <c r="I80" s="283"/>
      <c r="J80" s="271"/>
      <c r="K80" s="271"/>
      <c r="L80" s="271"/>
      <c r="M80" s="271"/>
      <c r="N80" s="271"/>
      <c r="O80" s="271"/>
      <c r="P80" s="323"/>
      <c r="Q80" s="271"/>
      <c r="R80" s="272"/>
      <c r="S80" s="271"/>
      <c r="T80" s="271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</row>
    <row r="81" spans="1:75" s="183" customFormat="1">
      <c r="A81" s="324"/>
      <c r="D81" s="271"/>
      <c r="E81" s="271"/>
      <c r="F81" s="271"/>
      <c r="G81" s="283"/>
      <c r="H81" s="283"/>
      <c r="I81" s="283"/>
      <c r="J81" s="271"/>
      <c r="K81" s="271"/>
      <c r="L81" s="271"/>
      <c r="M81" s="271"/>
      <c r="N81" s="271"/>
      <c r="O81" s="271"/>
      <c r="P81" s="323"/>
      <c r="Q81" s="271"/>
      <c r="R81" s="272"/>
      <c r="S81" s="271"/>
      <c r="T81" s="271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</row>
    <row r="82" spans="1:75" s="183" customFormat="1">
      <c r="A82" s="324"/>
      <c r="D82" s="271"/>
      <c r="E82" s="271"/>
      <c r="F82" s="271"/>
      <c r="G82" s="283"/>
      <c r="H82" s="283"/>
      <c r="I82" s="283"/>
      <c r="J82" s="271"/>
      <c r="K82" s="271"/>
      <c r="L82" s="271"/>
      <c r="M82" s="271"/>
      <c r="N82" s="271"/>
      <c r="O82" s="271"/>
      <c r="P82" s="323"/>
      <c r="Q82" s="271"/>
      <c r="R82" s="272"/>
      <c r="S82" s="271"/>
      <c r="T82" s="271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</row>
    <row r="83" spans="1:75" s="183" customFormat="1">
      <c r="A83" s="324"/>
      <c r="D83" s="271"/>
      <c r="E83" s="271"/>
      <c r="F83" s="271"/>
      <c r="G83" s="283"/>
      <c r="H83" s="283"/>
      <c r="I83" s="283"/>
      <c r="J83" s="271"/>
      <c r="K83" s="271"/>
      <c r="L83" s="271"/>
      <c r="M83" s="271"/>
      <c r="N83" s="271"/>
      <c r="O83" s="271"/>
      <c r="P83" s="323"/>
      <c r="Q83" s="271"/>
      <c r="R83" s="272"/>
      <c r="S83" s="271"/>
      <c r="T83" s="271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272"/>
      <c r="AO83" s="272"/>
      <c r="AP83" s="272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272"/>
      <c r="BC83" s="272"/>
      <c r="BD83" s="272"/>
      <c r="BE83" s="272"/>
      <c r="BF83" s="272"/>
      <c r="BG83" s="272"/>
      <c r="BH83" s="272"/>
      <c r="BI83" s="272"/>
      <c r="BJ83" s="272"/>
      <c r="BK83" s="272"/>
      <c r="BL83" s="272"/>
      <c r="BM83" s="272"/>
      <c r="BN83" s="272"/>
      <c r="BO83" s="272"/>
      <c r="BP83" s="272"/>
      <c r="BQ83" s="272"/>
      <c r="BR83" s="272"/>
      <c r="BS83" s="272"/>
      <c r="BT83" s="272"/>
      <c r="BU83" s="272"/>
      <c r="BV83" s="272"/>
      <c r="BW83" s="272"/>
    </row>
    <row r="84" spans="1:75" s="183" customFormat="1">
      <c r="A84" s="324"/>
      <c r="D84" s="271"/>
      <c r="E84" s="271"/>
      <c r="F84" s="271"/>
      <c r="G84" s="283"/>
      <c r="H84" s="283"/>
      <c r="I84" s="283"/>
      <c r="J84" s="271"/>
      <c r="K84" s="271"/>
      <c r="L84" s="271"/>
      <c r="M84" s="271"/>
      <c r="N84" s="271"/>
      <c r="O84" s="271"/>
      <c r="P84" s="323"/>
      <c r="Q84" s="271"/>
      <c r="R84" s="272"/>
      <c r="S84" s="271"/>
      <c r="T84" s="271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K84" s="272"/>
      <c r="BL84" s="272"/>
      <c r="BM84" s="272"/>
      <c r="BN84" s="272"/>
      <c r="BO84" s="272"/>
      <c r="BP84" s="272"/>
      <c r="BQ84" s="272"/>
      <c r="BR84" s="272"/>
      <c r="BS84" s="272"/>
      <c r="BT84" s="272"/>
      <c r="BU84" s="272"/>
      <c r="BV84" s="272"/>
      <c r="BW84" s="272"/>
    </row>
    <row r="85" spans="1:75" s="183" customFormat="1">
      <c r="A85" s="324"/>
      <c r="D85" s="271"/>
      <c r="E85" s="271"/>
      <c r="F85" s="271"/>
      <c r="G85" s="283"/>
      <c r="H85" s="283"/>
      <c r="I85" s="283"/>
      <c r="J85" s="271"/>
      <c r="K85" s="271"/>
      <c r="L85" s="271"/>
      <c r="M85" s="271"/>
      <c r="N85" s="271"/>
      <c r="O85" s="271"/>
      <c r="P85" s="323"/>
      <c r="Q85" s="271"/>
      <c r="R85" s="272"/>
      <c r="S85" s="271"/>
      <c r="T85" s="271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272"/>
      <c r="BN85" s="272"/>
      <c r="BO85" s="272"/>
      <c r="BP85" s="272"/>
      <c r="BQ85" s="272"/>
      <c r="BR85" s="272"/>
      <c r="BS85" s="272"/>
      <c r="BT85" s="272"/>
      <c r="BU85" s="272"/>
      <c r="BV85" s="272"/>
      <c r="BW85" s="272"/>
    </row>
    <row r="86" spans="1:75" s="183" customFormat="1">
      <c r="A86" s="324"/>
      <c r="D86" s="271"/>
      <c r="E86" s="271"/>
      <c r="F86" s="271"/>
      <c r="G86" s="283"/>
      <c r="H86" s="283"/>
      <c r="I86" s="283"/>
      <c r="J86" s="271"/>
      <c r="K86" s="271"/>
      <c r="L86" s="271"/>
      <c r="M86" s="271"/>
      <c r="N86" s="271"/>
      <c r="O86" s="271"/>
      <c r="P86" s="323"/>
      <c r="Q86" s="271"/>
      <c r="R86" s="272"/>
      <c r="S86" s="271"/>
      <c r="T86" s="271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2"/>
      <c r="BE86" s="272"/>
      <c r="BF86" s="272"/>
      <c r="BG86" s="272"/>
      <c r="BH86" s="272"/>
      <c r="BI86" s="272"/>
      <c r="BJ86" s="272"/>
      <c r="BK86" s="272"/>
      <c r="BL86" s="272"/>
      <c r="BM86" s="272"/>
      <c r="BN86" s="272"/>
      <c r="BO86" s="272"/>
      <c r="BP86" s="272"/>
      <c r="BQ86" s="272"/>
      <c r="BR86" s="272"/>
      <c r="BS86" s="272"/>
      <c r="BT86" s="272"/>
      <c r="BU86" s="272"/>
      <c r="BV86" s="272"/>
      <c r="BW86" s="272"/>
    </row>
    <row r="87" spans="1:75" s="183" customFormat="1">
      <c r="A87" s="324"/>
      <c r="D87" s="271"/>
      <c r="E87" s="271"/>
      <c r="F87" s="271"/>
      <c r="G87" s="283"/>
      <c r="H87" s="283"/>
      <c r="I87" s="283"/>
      <c r="J87" s="271"/>
      <c r="K87" s="271"/>
      <c r="L87" s="271"/>
      <c r="M87" s="271"/>
      <c r="N87" s="271"/>
      <c r="O87" s="271"/>
      <c r="P87" s="323"/>
      <c r="Q87" s="271"/>
      <c r="R87" s="271"/>
      <c r="S87" s="271"/>
      <c r="T87" s="271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2"/>
      <c r="BT87" s="272"/>
      <c r="BU87" s="272"/>
      <c r="BV87" s="272"/>
      <c r="BW87" s="272"/>
    </row>
    <row r="88" spans="1:75" s="183" customFormat="1">
      <c r="A88" s="324"/>
      <c r="D88" s="271"/>
      <c r="E88" s="271"/>
      <c r="F88" s="271"/>
      <c r="G88" s="283"/>
      <c r="H88" s="283"/>
      <c r="I88" s="283"/>
      <c r="J88" s="271"/>
      <c r="K88" s="271"/>
      <c r="L88" s="271"/>
      <c r="M88" s="271"/>
      <c r="N88" s="271"/>
      <c r="O88" s="271"/>
      <c r="P88" s="323"/>
      <c r="Q88" s="271"/>
      <c r="R88" s="271"/>
      <c r="S88" s="271"/>
      <c r="T88" s="271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2"/>
      <c r="BA88" s="272"/>
      <c r="BB88" s="272"/>
      <c r="BC88" s="272"/>
      <c r="BD88" s="272"/>
      <c r="BE88" s="272"/>
      <c r="BF88" s="272"/>
      <c r="BG88" s="272"/>
      <c r="BH88" s="272"/>
      <c r="BI88" s="272"/>
      <c r="BJ88" s="272"/>
      <c r="BK88" s="272"/>
      <c r="BL88" s="272"/>
      <c r="BM88" s="272"/>
      <c r="BN88" s="272"/>
      <c r="BO88" s="272"/>
      <c r="BP88" s="272"/>
      <c r="BQ88" s="272"/>
      <c r="BR88" s="272"/>
      <c r="BS88" s="272"/>
      <c r="BT88" s="272"/>
      <c r="BU88" s="272"/>
      <c r="BV88" s="272"/>
      <c r="BW88" s="272"/>
    </row>
    <row r="89" spans="1:75" s="183" customFormat="1">
      <c r="A89" s="324"/>
      <c r="D89" s="271"/>
      <c r="E89" s="271"/>
      <c r="F89" s="271"/>
      <c r="G89" s="283"/>
      <c r="H89" s="283"/>
      <c r="I89" s="283"/>
      <c r="J89" s="271"/>
      <c r="K89" s="271"/>
      <c r="L89" s="271"/>
      <c r="M89" s="271"/>
      <c r="N89" s="271"/>
      <c r="O89" s="271"/>
      <c r="P89" s="323"/>
      <c r="Q89" s="271"/>
      <c r="R89" s="271"/>
      <c r="S89" s="271"/>
      <c r="T89" s="271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2"/>
      <c r="AQ89" s="272"/>
      <c r="AR89" s="272"/>
      <c r="AS89" s="272"/>
      <c r="AT89" s="272"/>
      <c r="AU89" s="272"/>
      <c r="AV89" s="272"/>
      <c r="AW89" s="272"/>
      <c r="AX89" s="272"/>
      <c r="AY89" s="272"/>
      <c r="AZ89" s="272"/>
      <c r="BA89" s="272"/>
      <c r="BB89" s="272"/>
      <c r="BC89" s="272"/>
      <c r="BD89" s="272"/>
      <c r="BE89" s="272"/>
      <c r="BF89" s="272"/>
      <c r="BG89" s="272"/>
      <c r="BH89" s="272"/>
      <c r="BI89" s="272"/>
      <c r="BJ89" s="272"/>
      <c r="BK89" s="272"/>
      <c r="BL89" s="272"/>
      <c r="BM89" s="272"/>
      <c r="BN89" s="272"/>
      <c r="BO89" s="272"/>
      <c r="BP89" s="272"/>
      <c r="BQ89" s="272"/>
      <c r="BR89" s="272"/>
      <c r="BS89" s="272"/>
      <c r="BT89" s="272"/>
      <c r="BU89" s="272"/>
      <c r="BV89" s="272"/>
      <c r="BW89" s="272"/>
    </row>
    <row r="90" spans="1:75" s="183" customFormat="1">
      <c r="A90" s="324"/>
      <c r="D90" s="271"/>
      <c r="E90" s="271"/>
      <c r="F90" s="271"/>
      <c r="G90" s="283"/>
      <c r="H90" s="283"/>
      <c r="I90" s="283"/>
      <c r="J90" s="271"/>
      <c r="K90" s="271"/>
      <c r="L90" s="271"/>
      <c r="M90" s="271"/>
      <c r="N90" s="271"/>
      <c r="O90" s="271"/>
      <c r="P90" s="323"/>
      <c r="Q90" s="271"/>
      <c r="R90" s="271"/>
      <c r="S90" s="271"/>
      <c r="T90" s="271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272"/>
      <c r="BC90" s="272"/>
      <c r="BD90" s="272"/>
      <c r="BE90" s="272"/>
      <c r="BF90" s="272"/>
      <c r="BG90" s="272"/>
      <c r="BH90" s="272"/>
      <c r="BI90" s="272"/>
      <c r="BJ90" s="272"/>
      <c r="BK90" s="272"/>
      <c r="BL90" s="272"/>
      <c r="BM90" s="272"/>
      <c r="BN90" s="272"/>
      <c r="BO90" s="272"/>
      <c r="BP90" s="272"/>
      <c r="BQ90" s="272"/>
      <c r="BR90" s="272"/>
      <c r="BS90" s="272"/>
      <c r="BT90" s="272"/>
      <c r="BU90" s="272"/>
      <c r="BV90" s="272"/>
      <c r="BW90" s="272"/>
    </row>
    <row r="91" spans="1:75" s="183" customFormat="1">
      <c r="A91" s="324"/>
      <c r="D91" s="271"/>
      <c r="E91" s="271"/>
      <c r="F91" s="271"/>
      <c r="G91" s="283"/>
      <c r="H91" s="283"/>
      <c r="I91" s="283"/>
      <c r="J91" s="271"/>
      <c r="K91" s="271"/>
      <c r="L91" s="271"/>
      <c r="M91" s="271"/>
      <c r="N91" s="271"/>
      <c r="O91" s="271"/>
      <c r="P91" s="323"/>
      <c r="Q91" s="271"/>
      <c r="R91" s="271"/>
      <c r="S91" s="271"/>
      <c r="T91" s="271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272"/>
      <c r="BC91" s="272"/>
      <c r="BD91" s="272"/>
      <c r="BE91" s="272"/>
      <c r="BF91" s="272"/>
      <c r="BG91" s="272"/>
      <c r="BH91" s="272"/>
      <c r="BI91" s="272"/>
      <c r="BJ91" s="272"/>
      <c r="BK91" s="272"/>
      <c r="BL91" s="272"/>
      <c r="BM91" s="272"/>
      <c r="BN91" s="272"/>
      <c r="BO91" s="272"/>
      <c r="BP91" s="272"/>
      <c r="BQ91" s="272"/>
      <c r="BR91" s="272"/>
      <c r="BS91" s="272"/>
      <c r="BT91" s="272"/>
      <c r="BU91" s="272"/>
      <c r="BV91" s="272"/>
      <c r="BW91" s="272"/>
    </row>
    <row r="92" spans="1:75" s="183" customFormat="1">
      <c r="A92" s="324"/>
      <c r="D92" s="271"/>
      <c r="E92" s="271"/>
      <c r="F92" s="271"/>
      <c r="G92" s="283"/>
      <c r="H92" s="283"/>
      <c r="I92" s="283"/>
      <c r="J92" s="271"/>
      <c r="K92" s="271"/>
      <c r="L92" s="271"/>
      <c r="M92" s="271"/>
      <c r="N92" s="271"/>
      <c r="O92" s="271"/>
      <c r="P92" s="323"/>
      <c r="Q92" s="271"/>
      <c r="R92" s="271"/>
      <c r="S92" s="271"/>
      <c r="T92" s="271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2"/>
      <c r="BT92" s="272"/>
      <c r="BU92" s="272"/>
      <c r="BV92" s="272"/>
      <c r="BW92" s="272"/>
    </row>
    <row r="93" spans="1:75" s="183" customFormat="1">
      <c r="A93" s="324"/>
      <c r="D93" s="271"/>
      <c r="E93" s="271"/>
      <c r="F93" s="271"/>
      <c r="G93" s="283"/>
      <c r="H93" s="283"/>
      <c r="I93" s="283"/>
      <c r="J93" s="271"/>
      <c r="K93" s="271"/>
      <c r="L93" s="271"/>
      <c r="M93" s="271"/>
      <c r="N93" s="271"/>
      <c r="O93" s="271"/>
      <c r="P93" s="323"/>
      <c r="Q93" s="271"/>
      <c r="R93" s="271"/>
      <c r="S93" s="271"/>
      <c r="T93" s="271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2"/>
      <c r="BI93" s="272"/>
      <c r="BJ93" s="272"/>
      <c r="BK93" s="272"/>
      <c r="BL93" s="272"/>
      <c r="BM93" s="272"/>
      <c r="BN93" s="272"/>
      <c r="BO93" s="272"/>
      <c r="BP93" s="272"/>
      <c r="BQ93" s="272"/>
      <c r="BR93" s="272"/>
      <c r="BS93" s="272"/>
      <c r="BT93" s="272"/>
      <c r="BU93" s="272"/>
      <c r="BV93" s="272"/>
      <c r="BW93" s="272"/>
    </row>
    <row r="94" spans="1:75" s="183" customFormat="1">
      <c r="A94" s="324"/>
      <c r="D94" s="271"/>
      <c r="E94" s="271"/>
      <c r="F94" s="271"/>
      <c r="G94" s="283"/>
      <c r="H94" s="283"/>
      <c r="I94" s="283"/>
      <c r="J94" s="271"/>
      <c r="K94" s="271"/>
      <c r="L94" s="271"/>
      <c r="M94" s="271"/>
      <c r="N94" s="271"/>
      <c r="O94" s="271"/>
      <c r="P94" s="323"/>
      <c r="Q94" s="271"/>
      <c r="R94" s="271"/>
      <c r="S94" s="271"/>
      <c r="T94" s="271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2"/>
      <c r="BC94" s="272"/>
      <c r="BD94" s="272"/>
      <c r="BE94" s="272"/>
      <c r="BF94" s="272"/>
      <c r="BG94" s="272"/>
      <c r="BH94" s="272"/>
      <c r="BI94" s="272"/>
      <c r="BJ94" s="272"/>
      <c r="BK94" s="272"/>
      <c r="BL94" s="272"/>
      <c r="BM94" s="272"/>
      <c r="BN94" s="272"/>
      <c r="BO94" s="272"/>
      <c r="BP94" s="272"/>
      <c r="BQ94" s="272"/>
      <c r="BR94" s="272"/>
      <c r="BS94" s="272"/>
      <c r="BT94" s="272"/>
      <c r="BU94" s="272"/>
      <c r="BV94" s="272"/>
      <c r="BW94" s="272"/>
    </row>
    <row r="95" spans="1:75" s="183" customFormat="1">
      <c r="A95" s="324"/>
      <c r="D95" s="271"/>
      <c r="E95" s="271"/>
      <c r="F95" s="271"/>
      <c r="G95" s="283"/>
      <c r="H95" s="283"/>
      <c r="I95" s="283"/>
      <c r="J95" s="271"/>
      <c r="K95" s="271"/>
      <c r="L95" s="271"/>
      <c r="M95" s="271"/>
      <c r="N95" s="271"/>
      <c r="O95" s="271"/>
      <c r="P95" s="323"/>
      <c r="Q95" s="271"/>
      <c r="R95" s="271"/>
      <c r="S95" s="271"/>
      <c r="T95" s="271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2"/>
      <c r="AQ95" s="272"/>
      <c r="AR95" s="272"/>
      <c r="AS95" s="272"/>
      <c r="AT95" s="272"/>
      <c r="AU95" s="272"/>
      <c r="AV95" s="272"/>
      <c r="AW95" s="272"/>
      <c r="AX95" s="272"/>
      <c r="AY95" s="272"/>
      <c r="AZ95" s="272"/>
      <c r="BA95" s="272"/>
      <c r="BB95" s="272"/>
      <c r="BC95" s="272"/>
      <c r="BD95" s="272"/>
      <c r="BE95" s="272"/>
      <c r="BF95" s="272"/>
      <c r="BG95" s="272"/>
      <c r="BH95" s="272"/>
      <c r="BI95" s="272"/>
      <c r="BJ95" s="272"/>
      <c r="BK95" s="272"/>
      <c r="BL95" s="272"/>
      <c r="BM95" s="272"/>
      <c r="BN95" s="272"/>
      <c r="BO95" s="272"/>
      <c r="BP95" s="272"/>
      <c r="BQ95" s="272"/>
      <c r="BR95" s="272"/>
      <c r="BS95" s="272"/>
      <c r="BT95" s="272"/>
      <c r="BU95" s="272"/>
      <c r="BV95" s="272"/>
      <c r="BW95" s="272"/>
    </row>
    <row r="96" spans="1:75" s="183" customFormat="1">
      <c r="A96" s="324"/>
      <c r="D96" s="271"/>
      <c r="E96" s="271"/>
      <c r="F96" s="271"/>
      <c r="G96" s="283"/>
      <c r="H96" s="283"/>
      <c r="I96" s="283"/>
      <c r="J96" s="271"/>
      <c r="K96" s="271"/>
      <c r="L96" s="271"/>
      <c r="M96" s="271"/>
      <c r="N96" s="271"/>
      <c r="O96" s="271"/>
      <c r="P96" s="323"/>
      <c r="Q96" s="271"/>
      <c r="R96" s="271"/>
      <c r="S96" s="271"/>
      <c r="T96" s="271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  <c r="AO96" s="272"/>
      <c r="AP96" s="272"/>
      <c r="AQ96" s="272"/>
      <c r="AR96" s="272"/>
      <c r="AS96" s="272"/>
      <c r="AT96" s="272"/>
      <c r="AU96" s="272"/>
      <c r="AV96" s="272"/>
      <c r="AW96" s="272"/>
      <c r="AX96" s="272"/>
      <c r="AY96" s="272"/>
      <c r="AZ96" s="272"/>
      <c r="BA96" s="272"/>
      <c r="BB96" s="272"/>
      <c r="BC96" s="272"/>
      <c r="BD96" s="272"/>
      <c r="BE96" s="272"/>
      <c r="BF96" s="272"/>
      <c r="BG96" s="272"/>
      <c r="BH96" s="272"/>
      <c r="BI96" s="272"/>
      <c r="BJ96" s="272"/>
      <c r="BK96" s="272"/>
      <c r="BL96" s="272"/>
      <c r="BM96" s="272"/>
      <c r="BN96" s="272"/>
      <c r="BO96" s="272"/>
      <c r="BP96" s="272"/>
      <c r="BQ96" s="272"/>
      <c r="BR96" s="272"/>
      <c r="BS96" s="272"/>
      <c r="BT96" s="272"/>
      <c r="BU96" s="272"/>
      <c r="BV96" s="272"/>
      <c r="BW96" s="272"/>
    </row>
    <row r="97" spans="1:75" s="183" customFormat="1">
      <c r="A97" s="324"/>
      <c r="D97" s="271"/>
      <c r="E97" s="271"/>
      <c r="F97" s="271"/>
      <c r="G97" s="283"/>
      <c r="H97" s="283"/>
      <c r="I97" s="283"/>
      <c r="J97" s="271"/>
      <c r="K97" s="271"/>
      <c r="L97" s="271"/>
      <c r="M97" s="271"/>
      <c r="N97" s="271"/>
      <c r="O97" s="271"/>
      <c r="P97" s="323"/>
      <c r="Q97" s="271"/>
      <c r="R97" s="271"/>
      <c r="S97" s="271"/>
      <c r="T97" s="271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  <c r="AO97" s="272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2"/>
      <c r="BB97" s="272"/>
      <c r="BC97" s="272"/>
      <c r="BD97" s="272"/>
      <c r="BE97" s="272"/>
      <c r="BF97" s="272"/>
      <c r="BG97" s="272"/>
      <c r="BH97" s="272"/>
      <c r="BI97" s="272"/>
      <c r="BJ97" s="272"/>
      <c r="BK97" s="272"/>
      <c r="BL97" s="272"/>
      <c r="BM97" s="272"/>
      <c r="BN97" s="272"/>
      <c r="BO97" s="272"/>
      <c r="BP97" s="272"/>
      <c r="BQ97" s="272"/>
      <c r="BR97" s="272"/>
      <c r="BS97" s="272"/>
      <c r="BT97" s="272"/>
      <c r="BU97" s="272"/>
      <c r="BV97" s="272"/>
      <c r="BW97" s="272"/>
    </row>
    <row r="98" spans="1:75" s="183" customFormat="1">
      <c r="A98" s="324"/>
      <c r="D98" s="271"/>
      <c r="E98" s="271"/>
      <c r="F98" s="271"/>
      <c r="G98" s="283"/>
      <c r="H98" s="283"/>
      <c r="I98" s="283"/>
      <c r="J98" s="271"/>
      <c r="K98" s="271"/>
      <c r="L98" s="271"/>
      <c r="M98" s="271"/>
      <c r="N98" s="271"/>
      <c r="O98" s="271"/>
      <c r="P98" s="323"/>
      <c r="Q98" s="271"/>
      <c r="R98" s="271"/>
      <c r="S98" s="271"/>
      <c r="T98" s="271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  <c r="AM98" s="272"/>
      <c r="AN98" s="272"/>
      <c r="AO98" s="272"/>
      <c r="AP98" s="272"/>
      <c r="AQ98" s="272"/>
      <c r="AR98" s="272"/>
      <c r="AS98" s="272"/>
      <c r="AT98" s="272"/>
      <c r="AU98" s="272"/>
      <c r="AV98" s="272"/>
      <c r="AW98" s="272"/>
      <c r="AX98" s="272"/>
      <c r="AY98" s="272"/>
      <c r="AZ98" s="272"/>
      <c r="BA98" s="272"/>
      <c r="BB98" s="272"/>
      <c r="BC98" s="272"/>
      <c r="BD98" s="272"/>
      <c r="BE98" s="272"/>
      <c r="BF98" s="272"/>
      <c r="BG98" s="272"/>
      <c r="BH98" s="272"/>
      <c r="BI98" s="272"/>
      <c r="BJ98" s="272"/>
      <c r="BK98" s="272"/>
      <c r="BL98" s="272"/>
      <c r="BM98" s="272"/>
      <c r="BN98" s="272"/>
      <c r="BO98" s="272"/>
      <c r="BP98" s="272"/>
      <c r="BQ98" s="272"/>
      <c r="BR98" s="272"/>
      <c r="BS98" s="272"/>
      <c r="BT98" s="272"/>
      <c r="BU98" s="272"/>
      <c r="BV98" s="272"/>
      <c r="BW98" s="272"/>
    </row>
    <row r="99" spans="1:75" s="183" customFormat="1">
      <c r="A99" s="324"/>
      <c r="D99" s="271"/>
      <c r="E99" s="271"/>
      <c r="F99" s="271"/>
      <c r="G99" s="283"/>
      <c r="H99" s="283"/>
      <c r="I99" s="283"/>
      <c r="J99" s="271"/>
      <c r="K99" s="271"/>
      <c r="L99" s="271"/>
      <c r="M99" s="271"/>
      <c r="N99" s="271"/>
      <c r="O99" s="271"/>
      <c r="P99" s="323"/>
      <c r="Q99" s="271"/>
      <c r="R99" s="271"/>
      <c r="S99" s="271"/>
      <c r="T99" s="271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  <c r="AM99" s="272"/>
      <c r="AN99" s="272"/>
      <c r="AO99" s="272"/>
      <c r="AP99" s="272"/>
      <c r="AQ99" s="272"/>
      <c r="AR99" s="272"/>
      <c r="AS99" s="272"/>
      <c r="AT99" s="272"/>
      <c r="AU99" s="272"/>
      <c r="AV99" s="272"/>
      <c r="AW99" s="272"/>
      <c r="AX99" s="272"/>
      <c r="AY99" s="272"/>
      <c r="AZ99" s="272"/>
      <c r="BA99" s="272"/>
      <c r="BB99" s="272"/>
      <c r="BC99" s="272"/>
      <c r="BD99" s="272"/>
      <c r="BE99" s="272"/>
      <c r="BF99" s="272"/>
      <c r="BG99" s="272"/>
      <c r="BH99" s="272"/>
      <c r="BI99" s="272"/>
      <c r="BJ99" s="272"/>
      <c r="BK99" s="272"/>
      <c r="BL99" s="272"/>
      <c r="BM99" s="272"/>
      <c r="BN99" s="272"/>
      <c r="BO99" s="272"/>
      <c r="BP99" s="272"/>
      <c r="BQ99" s="272"/>
      <c r="BR99" s="272"/>
      <c r="BS99" s="272"/>
      <c r="BT99" s="272"/>
      <c r="BU99" s="272"/>
      <c r="BV99" s="272"/>
      <c r="BW99" s="272"/>
    </row>
    <row r="100" spans="1:75" s="183" customFormat="1">
      <c r="A100" s="324"/>
      <c r="D100" s="271"/>
      <c r="E100" s="271"/>
      <c r="F100" s="271"/>
      <c r="G100" s="283"/>
      <c r="H100" s="283"/>
      <c r="I100" s="283"/>
      <c r="J100" s="271"/>
      <c r="K100" s="271"/>
      <c r="L100" s="271"/>
      <c r="M100" s="271"/>
      <c r="N100" s="271"/>
      <c r="O100" s="271"/>
      <c r="P100" s="323"/>
      <c r="Q100" s="271"/>
      <c r="R100" s="271"/>
      <c r="S100" s="271"/>
      <c r="T100" s="271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  <c r="AM100" s="272"/>
      <c r="AN100" s="272"/>
      <c r="AO100" s="272"/>
      <c r="AP100" s="272"/>
      <c r="AQ100" s="272"/>
      <c r="AR100" s="272"/>
      <c r="AS100" s="272"/>
      <c r="AT100" s="272"/>
      <c r="AU100" s="272"/>
      <c r="AV100" s="272"/>
      <c r="AW100" s="272"/>
      <c r="AX100" s="272"/>
      <c r="AY100" s="272"/>
      <c r="AZ100" s="272"/>
      <c r="BA100" s="272"/>
      <c r="BB100" s="272"/>
      <c r="BC100" s="272"/>
      <c r="BD100" s="272"/>
      <c r="BE100" s="272"/>
      <c r="BF100" s="272"/>
      <c r="BG100" s="272"/>
      <c r="BH100" s="272"/>
      <c r="BI100" s="272"/>
      <c r="BJ100" s="272"/>
      <c r="BK100" s="272"/>
      <c r="BL100" s="272"/>
      <c r="BM100" s="272"/>
      <c r="BN100" s="272"/>
      <c r="BO100" s="272"/>
      <c r="BP100" s="272"/>
      <c r="BQ100" s="272"/>
      <c r="BR100" s="272"/>
      <c r="BS100" s="272"/>
      <c r="BT100" s="272"/>
      <c r="BU100" s="272"/>
      <c r="BV100" s="272"/>
      <c r="BW100" s="272"/>
    </row>
    <row r="101" spans="1:75" s="183" customFormat="1">
      <c r="A101" s="324"/>
      <c r="D101" s="271"/>
      <c r="E101" s="271"/>
      <c r="F101" s="271"/>
      <c r="G101" s="283"/>
      <c r="H101" s="283"/>
      <c r="I101" s="283"/>
      <c r="J101" s="271"/>
      <c r="K101" s="271"/>
      <c r="L101" s="271"/>
      <c r="M101" s="271"/>
      <c r="N101" s="271"/>
      <c r="O101" s="271"/>
      <c r="P101" s="323"/>
      <c r="Q101" s="271"/>
      <c r="R101" s="271"/>
      <c r="S101" s="271"/>
      <c r="T101" s="271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  <c r="AO101" s="272"/>
      <c r="AP101" s="272"/>
      <c r="AQ101" s="272"/>
      <c r="AR101" s="272"/>
      <c r="AS101" s="272"/>
      <c r="AT101" s="272"/>
      <c r="AU101" s="272"/>
      <c r="AV101" s="272"/>
      <c r="AW101" s="272"/>
      <c r="AX101" s="272"/>
      <c r="AY101" s="272"/>
      <c r="AZ101" s="272"/>
      <c r="BA101" s="272"/>
      <c r="BB101" s="272"/>
      <c r="BC101" s="272"/>
      <c r="BD101" s="272"/>
      <c r="BE101" s="272"/>
      <c r="BF101" s="272"/>
      <c r="BG101" s="272"/>
      <c r="BH101" s="272"/>
      <c r="BI101" s="272"/>
      <c r="BJ101" s="272"/>
      <c r="BK101" s="272"/>
      <c r="BL101" s="272"/>
      <c r="BM101" s="272"/>
      <c r="BN101" s="272"/>
      <c r="BO101" s="272"/>
      <c r="BP101" s="272"/>
      <c r="BQ101" s="272"/>
      <c r="BR101" s="272"/>
      <c r="BS101" s="272"/>
      <c r="BT101" s="272"/>
      <c r="BU101" s="272"/>
      <c r="BV101" s="272"/>
      <c r="BW101" s="272"/>
    </row>
    <row r="102" spans="1:75" s="183" customFormat="1">
      <c r="A102" s="324"/>
      <c r="D102" s="271"/>
      <c r="E102" s="271"/>
      <c r="F102" s="271"/>
      <c r="G102" s="283"/>
      <c r="H102" s="283"/>
      <c r="I102" s="283"/>
      <c r="J102" s="271"/>
      <c r="K102" s="271"/>
      <c r="L102" s="271"/>
      <c r="M102" s="271"/>
      <c r="N102" s="271"/>
      <c r="O102" s="271"/>
      <c r="P102" s="323"/>
      <c r="Q102" s="271"/>
      <c r="R102" s="271"/>
      <c r="S102" s="271"/>
      <c r="T102" s="271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  <c r="AO102" s="272"/>
      <c r="AP102" s="272"/>
      <c r="AQ102" s="272"/>
      <c r="AR102" s="272"/>
      <c r="AS102" s="272"/>
      <c r="AT102" s="272"/>
      <c r="AU102" s="272"/>
      <c r="AV102" s="272"/>
      <c r="AW102" s="272"/>
      <c r="AX102" s="272"/>
      <c r="AY102" s="272"/>
      <c r="AZ102" s="272"/>
      <c r="BA102" s="272"/>
      <c r="BB102" s="272"/>
      <c r="BC102" s="272"/>
      <c r="BD102" s="272"/>
      <c r="BE102" s="272"/>
      <c r="BF102" s="272"/>
      <c r="BG102" s="272"/>
      <c r="BH102" s="272"/>
      <c r="BI102" s="272"/>
      <c r="BJ102" s="272"/>
      <c r="BK102" s="272"/>
      <c r="BL102" s="272"/>
      <c r="BM102" s="272"/>
      <c r="BN102" s="272"/>
      <c r="BO102" s="272"/>
      <c r="BP102" s="272"/>
      <c r="BQ102" s="272"/>
      <c r="BR102" s="272"/>
      <c r="BS102" s="272"/>
      <c r="BT102" s="272"/>
      <c r="BU102" s="272"/>
      <c r="BV102" s="272"/>
      <c r="BW102" s="272"/>
    </row>
    <row r="103" spans="1:75" s="183" customFormat="1">
      <c r="A103" s="324"/>
      <c r="D103" s="271"/>
      <c r="E103" s="271"/>
      <c r="F103" s="271"/>
      <c r="G103" s="283"/>
      <c r="H103" s="283"/>
      <c r="I103" s="283"/>
      <c r="J103" s="271"/>
      <c r="K103" s="271"/>
      <c r="L103" s="271"/>
      <c r="M103" s="271"/>
      <c r="N103" s="271"/>
      <c r="O103" s="271"/>
      <c r="P103" s="323"/>
      <c r="Q103" s="271"/>
      <c r="R103" s="271"/>
      <c r="S103" s="271"/>
      <c r="T103" s="271"/>
      <c r="U103" s="272"/>
      <c r="V103" s="272"/>
      <c r="W103" s="272"/>
      <c r="X103" s="272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  <c r="AO103" s="272"/>
      <c r="AP103" s="272"/>
      <c r="AQ103" s="272"/>
      <c r="AR103" s="272"/>
      <c r="AS103" s="272"/>
      <c r="AT103" s="272"/>
      <c r="AU103" s="272"/>
      <c r="AV103" s="272"/>
      <c r="AW103" s="272"/>
      <c r="AX103" s="272"/>
      <c r="AY103" s="272"/>
      <c r="AZ103" s="272"/>
      <c r="BA103" s="272"/>
      <c r="BB103" s="272"/>
      <c r="BC103" s="272"/>
      <c r="BD103" s="272"/>
      <c r="BE103" s="272"/>
      <c r="BF103" s="272"/>
      <c r="BG103" s="272"/>
      <c r="BH103" s="272"/>
      <c r="BI103" s="272"/>
      <c r="BJ103" s="272"/>
      <c r="BK103" s="272"/>
      <c r="BL103" s="272"/>
      <c r="BM103" s="272"/>
      <c r="BN103" s="272"/>
      <c r="BO103" s="272"/>
      <c r="BP103" s="272"/>
      <c r="BQ103" s="272"/>
      <c r="BR103" s="272"/>
      <c r="BS103" s="272"/>
      <c r="BT103" s="272"/>
      <c r="BU103" s="272"/>
      <c r="BV103" s="272"/>
      <c r="BW103" s="272"/>
    </row>
    <row r="104" spans="1:75" s="183" customFormat="1">
      <c r="A104" s="324"/>
      <c r="D104" s="271"/>
      <c r="E104" s="271"/>
      <c r="F104" s="271"/>
      <c r="G104" s="283"/>
      <c r="H104" s="283"/>
      <c r="I104" s="283"/>
      <c r="J104" s="271"/>
      <c r="K104" s="271"/>
      <c r="L104" s="271"/>
      <c r="M104" s="271"/>
      <c r="N104" s="271"/>
      <c r="O104" s="271"/>
      <c r="P104" s="323"/>
      <c r="Q104" s="271"/>
      <c r="R104" s="271"/>
      <c r="S104" s="271"/>
      <c r="T104" s="271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  <c r="AO104" s="272"/>
      <c r="AP104" s="272"/>
      <c r="AQ104" s="272"/>
      <c r="AR104" s="272"/>
      <c r="AS104" s="272"/>
      <c r="AT104" s="272"/>
      <c r="AU104" s="272"/>
      <c r="AV104" s="272"/>
      <c r="AW104" s="272"/>
      <c r="AX104" s="272"/>
      <c r="AY104" s="272"/>
      <c r="AZ104" s="272"/>
      <c r="BA104" s="272"/>
      <c r="BB104" s="272"/>
      <c r="BC104" s="272"/>
      <c r="BD104" s="272"/>
      <c r="BE104" s="272"/>
      <c r="BF104" s="272"/>
      <c r="BG104" s="272"/>
      <c r="BH104" s="272"/>
      <c r="BI104" s="272"/>
      <c r="BJ104" s="272"/>
      <c r="BK104" s="272"/>
      <c r="BL104" s="272"/>
      <c r="BM104" s="272"/>
      <c r="BN104" s="272"/>
      <c r="BO104" s="272"/>
      <c r="BP104" s="272"/>
      <c r="BQ104" s="272"/>
      <c r="BR104" s="272"/>
      <c r="BS104" s="272"/>
      <c r="BT104" s="272"/>
      <c r="BU104" s="272"/>
      <c r="BV104" s="272"/>
      <c r="BW104" s="272"/>
    </row>
    <row r="105" spans="1:75" s="183" customFormat="1">
      <c r="A105" s="324"/>
      <c r="D105" s="271"/>
      <c r="E105" s="271"/>
      <c r="F105" s="271"/>
      <c r="G105" s="283"/>
      <c r="H105" s="283"/>
      <c r="I105" s="283"/>
      <c r="J105" s="271"/>
      <c r="K105" s="271"/>
      <c r="L105" s="271"/>
      <c r="M105" s="271"/>
      <c r="N105" s="271"/>
      <c r="O105" s="271"/>
      <c r="P105" s="323"/>
      <c r="Q105" s="271"/>
      <c r="R105" s="271"/>
      <c r="S105" s="271"/>
      <c r="T105" s="271"/>
      <c r="U105" s="272"/>
      <c r="V105" s="272"/>
      <c r="W105" s="272"/>
      <c r="X105" s="272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  <c r="AM105" s="272"/>
      <c r="AN105" s="272"/>
      <c r="AO105" s="272"/>
      <c r="AP105" s="272"/>
      <c r="AQ105" s="272"/>
      <c r="AR105" s="272"/>
      <c r="AS105" s="272"/>
      <c r="AT105" s="272"/>
      <c r="AU105" s="272"/>
      <c r="AV105" s="272"/>
      <c r="AW105" s="272"/>
      <c r="AX105" s="272"/>
      <c r="AY105" s="272"/>
      <c r="AZ105" s="272"/>
      <c r="BA105" s="272"/>
      <c r="BB105" s="272"/>
      <c r="BC105" s="272"/>
      <c r="BD105" s="272"/>
      <c r="BE105" s="272"/>
      <c r="BF105" s="272"/>
      <c r="BG105" s="272"/>
      <c r="BH105" s="272"/>
      <c r="BI105" s="272"/>
      <c r="BJ105" s="272"/>
      <c r="BK105" s="272"/>
      <c r="BL105" s="272"/>
      <c r="BM105" s="272"/>
      <c r="BN105" s="272"/>
      <c r="BO105" s="272"/>
      <c r="BP105" s="272"/>
      <c r="BQ105" s="272"/>
      <c r="BR105" s="272"/>
      <c r="BS105" s="272"/>
      <c r="BT105" s="272"/>
      <c r="BU105" s="272"/>
      <c r="BV105" s="272"/>
      <c r="BW105" s="272"/>
    </row>
    <row r="106" spans="1:75" s="183" customFormat="1">
      <c r="A106" s="324"/>
      <c r="D106" s="271"/>
      <c r="E106" s="271"/>
      <c r="F106" s="271"/>
      <c r="G106" s="283"/>
      <c r="H106" s="283"/>
      <c r="I106" s="283"/>
      <c r="J106" s="271"/>
      <c r="K106" s="271"/>
      <c r="L106" s="271"/>
      <c r="M106" s="271"/>
      <c r="N106" s="271"/>
      <c r="O106" s="271"/>
      <c r="P106" s="323"/>
      <c r="Q106" s="271"/>
      <c r="R106" s="271"/>
      <c r="S106" s="271"/>
      <c r="T106" s="271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  <c r="AO106" s="272"/>
      <c r="AP106" s="272"/>
      <c r="AQ106" s="272"/>
      <c r="AR106" s="272"/>
      <c r="AS106" s="272"/>
      <c r="AT106" s="272"/>
      <c r="AU106" s="272"/>
      <c r="AV106" s="272"/>
      <c r="AW106" s="272"/>
      <c r="AX106" s="272"/>
      <c r="AY106" s="272"/>
      <c r="AZ106" s="272"/>
      <c r="BA106" s="272"/>
      <c r="BB106" s="272"/>
      <c r="BC106" s="272"/>
      <c r="BD106" s="272"/>
      <c r="BE106" s="272"/>
      <c r="BF106" s="272"/>
      <c r="BG106" s="272"/>
      <c r="BH106" s="272"/>
      <c r="BI106" s="272"/>
      <c r="BJ106" s="272"/>
      <c r="BK106" s="272"/>
      <c r="BL106" s="272"/>
      <c r="BM106" s="272"/>
      <c r="BN106" s="272"/>
      <c r="BO106" s="272"/>
      <c r="BP106" s="272"/>
      <c r="BQ106" s="272"/>
      <c r="BR106" s="272"/>
      <c r="BS106" s="272"/>
      <c r="BT106" s="272"/>
      <c r="BU106" s="272"/>
      <c r="BV106" s="272"/>
      <c r="BW106" s="272"/>
    </row>
    <row r="107" spans="1:75" s="183" customFormat="1">
      <c r="A107" s="324"/>
      <c r="D107" s="271"/>
      <c r="E107" s="271"/>
      <c r="F107" s="271"/>
      <c r="G107" s="283"/>
      <c r="H107" s="283"/>
      <c r="I107" s="283"/>
      <c r="J107" s="271"/>
      <c r="K107" s="271"/>
      <c r="L107" s="271"/>
      <c r="M107" s="271"/>
      <c r="N107" s="271"/>
      <c r="O107" s="271"/>
      <c r="P107" s="323"/>
      <c r="Q107" s="271"/>
      <c r="R107" s="271"/>
      <c r="S107" s="271"/>
      <c r="T107" s="271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  <c r="AO107" s="272"/>
      <c r="AP107" s="272"/>
      <c r="AQ107" s="272"/>
      <c r="AR107" s="272"/>
      <c r="AS107" s="272"/>
      <c r="AT107" s="272"/>
      <c r="AU107" s="272"/>
      <c r="AV107" s="272"/>
      <c r="AW107" s="272"/>
      <c r="AX107" s="272"/>
      <c r="AY107" s="272"/>
      <c r="AZ107" s="272"/>
      <c r="BA107" s="272"/>
      <c r="BB107" s="272"/>
      <c r="BC107" s="272"/>
      <c r="BD107" s="272"/>
      <c r="BE107" s="272"/>
      <c r="BF107" s="272"/>
      <c r="BG107" s="272"/>
      <c r="BH107" s="272"/>
      <c r="BI107" s="272"/>
      <c r="BJ107" s="272"/>
      <c r="BK107" s="272"/>
      <c r="BL107" s="272"/>
      <c r="BM107" s="272"/>
      <c r="BN107" s="272"/>
      <c r="BO107" s="272"/>
      <c r="BP107" s="272"/>
      <c r="BQ107" s="272"/>
      <c r="BR107" s="272"/>
      <c r="BS107" s="272"/>
      <c r="BT107" s="272"/>
      <c r="BU107" s="272"/>
      <c r="BV107" s="272"/>
      <c r="BW107" s="272"/>
    </row>
    <row r="108" spans="1:75" s="183" customFormat="1">
      <c r="A108" s="324"/>
      <c r="D108" s="271"/>
      <c r="E108" s="271"/>
      <c r="F108" s="271"/>
      <c r="G108" s="283"/>
      <c r="H108" s="283"/>
      <c r="I108" s="283"/>
      <c r="J108" s="271"/>
      <c r="K108" s="271"/>
      <c r="L108" s="271"/>
      <c r="M108" s="271"/>
      <c r="N108" s="271"/>
      <c r="O108" s="271"/>
      <c r="P108" s="323"/>
      <c r="Q108" s="271"/>
      <c r="R108" s="271"/>
      <c r="S108" s="271"/>
      <c r="T108" s="271"/>
      <c r="U108" s="272"/>
      <c r="V108" s="272"/>
      <c r="W108" s="272"/>
      <c r="X108" s="272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  <c r="AO108" s="272"/>
      <c r="AP108" s="272"/>
      <c r="AQ108" s="272"/>
      <c r="AR108" s="272"/>
      <c r="AS108" s="272"/>
      <c r="AT108" s="272"/>
      <c r="AU108" s="272"/>
      <c r="AV108" s="272"/>
      <c r="AW108" s="272"/>
      <c r="AX108" s="272"/>
      <c r="AY108" s="272"/>
      <c r="AZ108" s="272"/>
      <c r="BA108" s="272"/>
      <c r="BB108" s="272"/>
      <c r="BC108" s="272"/>
      <c r="BD108" s="272"/>
      <c r="BE108" s="272"/>
      <c r="BF108" s="272"/>
      <c r="BG108" s="272"/>
      <c r="BH108" s="272"/>
      <c r="BI108" s="272"/>
      <c r="BJ108" s="272"/>
      <c r="BK108" s="272"/>
      <c r="BL108" s="272"/>
      <c r="BM108" s="272"/>
      <c r="BN108" s="272"/>
      <c r="BO108" s="272"/>
      <c r="BP108" s="272"/>
      <c r="BQ108" s="272"/>
      <c r="BR108" s="272"/>
      <c r="BS108" s="272"/>
      <c r="BT108" s="272"/>
      <c r="BU108" s="272"/>
      <c r="BV108" s="272"/>
      <c r="BW108" s="272"/>
    </row>
    <row r="109" spans="1:75" s="183" customFormat="1">
      <c r="A109" s="324"/>
      <c r="D109" s="271"/>
      <c r="E109" s="271"/>
      <c r="F109" s="271"/>
      <c r="G109" s="283"/>
      <c r="H109" s="283"/>
      <c r="I109" s="283"/>
      <c r="J109" s="271"/>
      <c r="K109" s="271"/>
      <c r="L109" s="271"/>
      <c r="M109" s="271"/>
      <c r="N109" s="271"/>
      <c r="O109" s="271"/>
      <c r="P109" s="323"/>
      <c r="Q109" s="271"/>
      <c r="R109" s="271"/>
      <c r="S109" s="271"/>
      <c r="T109" s="271"/>
      <c r="U109" s="272"/>
      <c r="V109" s="272"/>
      <c r="W109" s="272"/>
      <c r="X109" s="272"/>
      <c r="Y109" s="272"/>
      <c r="Z109" s="272"/>
      <c r="AA109" s="272"/>
      <c r="AB109" s="272"/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  <c r="AM109" s="272"/>
      <c r="AN109" s="272"/>
      <c r="AO109" s="272"/>
      <c r="AP109" s="272"/>
      <c r="AQ109" s="272"/>
      <c r="AR109" s="272"/>
      <c r="AS109" s="272"/>
      <c r="AT109" s="272"/>
      <c r="AU109" s="272"/>
      <c r="AV109" s="272"/>
      <c r="AW109" s="272"/>
      <c r="AX109" s="272"/>
      <c r="AY109" s="272"/>
      <c r="AZ109" s="272"/>
      <c r="BA109" s="272"/>
      <c r="BB109" s="272"/>
      <c r="BC109" s="272"/>
      <c r="BD109" s="272"/>
      <c r="BE109" s="272"/>
      <c r="BF109" s="272"/>
      <c r="BG109" s="272"/>
      <c r="BH109" s="272"/>
      <c r="BI109" s="272"/>
      <c r="BJ109" s="272"/>
      <c r="BK109" s="272"/>
      <c r="BL109" s="272"/>
      <c r="BM109" s="272"/>
      <c r="BN109" s="272"/>
      <c r="BO109" s="272"/>
      <c r="BP109" s="272"/>
      <c r="BQ109" s="272"/>
      <c r="BR109" s="272"/>
      <c r="BS109" s="272"/>
      <c r="BT109" s="272"/>
      <c r="BU109" s="272"/>
      <c r="BV109" s="272"/>
      <c r="BW109" s="272"/>
    </row>
    <row r="110" spans="1:75" s="183" customFormat="1">
      <c r="A110" s="324"/>
      <c r="D110" s="271"/>
      <c r="E110" s="271"/>
      <c r="F110" s="271"/>
      <c r="G110" s="283"/>
      <c r="H110" s="283"/>
      <c r="I110" s="283"/>
      <c r="J110" s="271"/>
      <c r="K110" s="271"/>
      <c r="L110" s="271"/>
      <c r="M110" s="271"/>
      <c r="N110" s="271"/>
      <c r="O110" s="271"/>
      <c r="P110" s="323"/>
      <c r="Q110" s="271"/>
      <c r="R110" s="271"/>
      <c r="S110" s="271"/>
      <c r="T110" s="271"/>
      <c r="U110" s="272"/>
      <c r="V110" s="272"/>
      <c r="W110" s="272"/>
      <c r="X110" s="272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  <c r="AM110" s="272"/>
      <c r="AN110" s="272"/>
      <c r="AO110" s="272"/>
      <c r="AP110" s="272"/>
      <c r="AQ110" s="272"/>
      <c r="AR110" s="272"/>
      <c r="AS110" s="272"/>
      <c r="AT110" s="272"/>
      <c r="AU110" s="272"/>
      <c r="AV110" s="272"/>
      <c r="AW110" s="272"/>
      <c r="AX110" s="272"/>
      <c r="AY110" s="272"/>
      <c r="AZ110" s="272"/>
      <c r="BA110" s="272"/>
      <c r="BB110" s="272"/>
      <c r="BC110" s="272"/>
      <c r="BD110" s="272"/>
      <c r="BE110" s="272"/>
      <c r="BF110" s="272"/>
      <c r="BG110" s="272"/>
      <c r="BH110" s="272"/>
      <c r="BI110" s="272"/>
      <c r="BJ110" s="272"/>
      <c r="BK110" s="272"/>
      <c r="BL110" s="272"/>
      <c r="BM110" s="272"/>
      <c r="BN110" s="272"/>
      <c r="BO110" s="272"/>
      <c r="BP110" s="272"/>
      <c r="BQ110" s="272"/>
      <c r="BR110" s="272"/>
      <c r="BS110" s="272"/>
      <c r="BT110" s="272"/>
      <c r="BU110" s="272"/>
      <c r="BV110" s="272"/>
      <c r="BW110" s="272"/>
    </row>
    <row r="111" spans="1:75" s="183" customFormat="1">
      <c r="A111" s="324"/>
      <c r="D111" s="271"/>
      <c r="E111" s="271"/>
      <c r="F111" s="271"/>
      <c r="G111" s="283"/>
      <c r="H111" s="283"/>
      <c r="I111" s="283"/>
      <c r="J111" s="271"/>
      <c r="K111" s="271"/>
      <c r="L111" s="271"/>
      <c r="M111" s="271"/>
      <c r="N111" s="271"/>
      <c r="O111" s="271"/>
      <c r="P111" s="323"/>
      <c r="Q111" s="271"/>
      <c r="R111" s="271"/>
      <c r="S111" s="271"/>
      <c r="T111" s="271"/>
      <c r="U111" s="272"/>
      <c r="V111" s="272"/>
      <c r="W111" s="272"/>
      <c r="X111" s="272"/>
      <c r="Y111" s="272"/>
      <c r="Z111" s="272"/>
      <c r="AA111" s="272"/>
      <c r="AB111" s="272"/>
      <c r="AC111" s="272"/>
      <c r="AD111" s="272"/>
      <c r="AE111" s="272"/>
      <c r="AF111" s="272"/>
      <c r="AG111" s="272"/>
      <c r="AH111" s="272"/>
      <c r="AI111" s="272"/>
      <c r="AJ111" s="272"/>
      <c r="AK111" s="272"/>
      <c r="AL111" s="272"/>
      <c r="AM111" s="272"/>
      <c r="AN111" s="272"/>
      <c r="AO111" s="272"/>
      <c r="AP111" s="272"/>
      <c r="AQ111" s="272"/>
      <c r="AR111" s="272"/>
      <c r="AS111" s="272"/>
      <c r="AT111" s="272"/>
      <c r="AU111" s="272"/>
      <c r="AV111" s="272"/>
      <c r="AW111" s="272"/>
      <c r="AX111" s="272"/>
      <c r="AY111" s="272"/>
      <c r="AZ111" s="272"/>
      <c r="BA111" s="272"/>
      <c r="BB111" s="272"/>
      <c r="BC111" s="272"/>
      <c r="BD111" s="272"/>
      <c r="BE111" s="272"/>
      <c r="BF111" s="272"/>
      <c r="BG111" s="272"/>
      <c r="BH111" s="272"/>
      <c r="BI111" s="272"/>
      <c r="BJ111" s="272"/>
      <c r="BK111" s="272"/>
      <c r="BL111" s="272"/>
      <c r="BM111" s="272"/>
      <c r="BN111" s="272"/>
      <c r="BO111" s="272"/>
      <c r="BP111" s="272"/>
      <c r="BQ111" s="272"/>
      <c r="BR111" s="272"/>
      <c r="BS111" s="272"/>
      <c r="BT111" s="272"/>
      <c r="BU111" s="272"/>
      <c r="BV111" s="272"/>
      <c r="BW111" s="272"/>
    </row>
    <row r="112" spans="1:75" s="183" customFormat="1">
      <c r="A112" s="324"/>
      <c r="D112" s="271"/>
      <c r="E112" s="271"/>
      <c r="F112" s="271"/>
      <c r="G112" s="283"/>
      <c r="H112" s="283"/>
      <c r="I112" s="283"/>
      <c r="J112" s="271"/>
      <c r="K112" s="271"/>
      <c r="L112" s="271"/>
      <c r="M112" s="271"/>
      <c r="N112" s="271"/>
      <c r="O112" s="271"/>
      <c r="P112" s="323"/>
      <c r="Q112" s="271"/>
      <c r="R112" s="271"/>
      <c r="S112" s="271"/>
      <c r="T112" s="271"/>
      <c r="U112" s="272"/>
      <c r="V112" s="272"/>
      <c r="W112" s="272"/>
      <c r="X112" s="272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2"/>
      <c r="AJ112" s="272"/>
      <c r="AK112" s="272"/>
      <c r="AL112" s="272"/>
      <c r="AM112" s="272"/>
      <c r="AN112" s="272"/>
      <c r="AO112" s="272"/>
      <c r="AP112" s="272"/>
      <c r="AQ112" s="272"/>
      <c r="AR112" s="272"/>
      <c r="AS112" s="272"/>
      <c r="AT112" s="272"/>
      <c r="AU112" s="272"/>
      <c r="AV112" s="272"/>
      <c r="AW112" s="272"/>
      <c r="AX112" s="272"/>
      <c r="AY112" s="272"/>
      <c r="AZ112" s="272"/>
      <c r="BA112" s="272"/>
      <c r="BB112" s="272"/>
      <c r="BC112" s="272"/>
      <c r="BD112" s="272"/>
      <c r="BE112" s="272"/>
      <c r="BF112" s="272"/>
      <c r="BG112" s="272"/>
      <c r="BH112" s="272"/>
      <c r="BI112" s="272"/>
      <c r="BJ112" s="272"/>
      <c r="BK112" s="272"/>
      <c r="BL112" s="272"/>
      <c r="BM112" s="272"/>
      <c r="BN112" s="272"/>
      <c r="BO112" s="272"/>
      <c r="BP112" s="272"/>
      <c r="BQ112" s="272"/>
      <c r="BR112" s="272"/>
      <c r="BS112" s="272"/>
      <c r="BT112" s="272"/>
      <c r="BU112" s="272"/>
      <c r="BV112" s="272"/>
      <c r="BW112" s="272"/>
    </row>
    <row r="113" spans="1:75" s="183" customFormat="1">
      <c r="A113" s="324"/>
      <c r="D113" s="271"/>
      <c r="E113" s="271"/>
      <c r="F113" s="271"/>
      <c r="G113" s="283"/>
      <c r="H113" s="283"/>
      <c r="I113" s="283"/>
      <c r="J113" s="271"/>
      <c r="K113" s="271"/>
      <c r="L113" s="271"/>
      <c r="M113" s="271"/>
      <c r="N113" s="271"/>
      <c r="O113" s="271"/>
      <c r="P113" s="323"/>
      <c r="Q113" s="271"/>
      <c r="R113" s="271"/>
      <c r="S113" s="271"/>
      <c r="T113" s="271"/>
      <c r="U113" s="272"/>
      <c r="V113" s="272"/>
      <c r="W113" s="272"/>
      <c r="X113" s="272"/>
      <c r="Y113" s="272"/>
      <c r="Z113" s="272"/>
      <c r="AA113" s="272"/>
      <c r="AB113" s="272"/>
      <c r="AC113" s="272"/>
      <c r="AD113" s="272"/>
      <c r="AE113" s="272"/>
      <c r="AF113" s="272"/>
      <c r="AG113" s="272"/>
      <c r="AH113" s="272"/>
      <c r="AI113" s="272"/>
      <c r="AJ113" s="272"/>
      <c r="AK113" s="272"/>
      <c r="AL113" s="272"/>
      <c r="AM113" s="272"/>
      <c r="AN113" s="272"/>
      <c r="AO113" s="272"/>
      <c r="AP113" s="272"/>
      <c r="AQ113" s="272"/>
      <c r="AR113" s="272"/>
      <c r="AS113" s="272"/>
      <c r="AT113" s="272"/>
      <c r="AU113" s="272"/>
      <c r="AV113" s="272"/>
      <c r="AW113" s="272"/>
      <c r="AX113" s="272"/>
      <c r="AY113" s="272"/>
      <c r="AZ113" s="272"/>
      <c r="BA113" s="272"/>
      <c r="BB113" s="272"/>
      <c r="BC113" s="272"/>
      <c r="BD113" s="272"/>
      <c r="BE113" s="272"/>
      <c r="BF113" s="272"/>
      <c r="BG113" s="272"/>
      <c r="BH113" s="272"/>
      <c r="BI113" s="272"/>
      <c r="BJ113" s="272"/>
      <c r="BK113" s="272"/>
      <c r="BL113" s="272"/>
      <c r="BM113" s="272"/>
      <c r="BN113" s="272"/>
      <c r="BO113" s="272"/>
      <c r="BP113" s="272"/>
      <c r="BQ113" s="272"/>
      <c r="BR113" s="272"/>
      <c r="BS113" s="272"/>
      <c r="BT113" s="272"/>
      <c r="BU113" s="272"/>
      <c r="BV113" s="272"/>
      <c r="BW113" s="272"/>
    </row>
    <row r="114" spans="1:75" s="183" customFormat="1">
      <c r="A114" s="324"/>
      <c r="D114" s="271"/>
      <c r="E114" s="271"/>
      <c r="F114" s="271"/>
      <c r="G114" s="283"/>
      <c r="H114" s="283"/>
      <c r="I114" s="283"/>
      <c r="J114" s="271"/>
      <c r="K114" s="271"/>
      <c r="L114" s="271"/>
      <c r="M114" s="271"/>
      <c r="N114" s="271"/>
      <c r="O114" s="271"/>
      <c r="P114" s="323"/>
      <c r="Q114" s="271"/>
      <c r="R114" s="271"/>
      <c r="S114" s="271"/>
      <c r="T114" s="271"/>
      <c r="U114" s="272"/>
      <c r="V114" s="272"/>
      <c r="W114" s="272"/>
      <c r="X114" s="272"/>
      <c r="Y114" s="272"/>
      <c r="Z114" s="272"/>
      <c r="AA114" s="272"/>
      <c r="AB114" s="272"/>
      <c r="AC114" s="272"/>
      <c r="AD114" s="272"/>
      <c r="AE114" s="272"/>
      <c r="AF114" s="272"/>
      <c r="AG114" s="272"/>
      <c r="AH114" s="272"/>
      <c r="AI114" s="272"/>
      <c r="AJ114" s="272"/>
      <c r="AK114" s="272"/>
      <c r="AL114" s="272"/>
      <c r="AM114" s="272"/>
      <c r="AN114" s="272"/>
      <c r="AO114" s="272"/>
      <c r="AP114" s="272"/>
      <c r="AQ114" s="272"/>
      <c r="AR114" s="272"/>
      <c r="AS114" s="272"/>
      <c r="AT114" s="272"/>
      <c r="AU114" s="272"/>
      <c r="AV114" s="272"/>
      <c r="AW114" s="272"/>
      <c r="AX114" s="272"/>
      <c r="AY114" s="272"/>
      <c r="AZ114" s="272"/>
      <c r="BA114" s="272"/>
      <c r="BB114" s="272"/>
      <c r="BC114" s="272"/>
      <c r="BD114" s="272"/>
      <c r="BE114" s="272"/>
      <c r="BF114" s="272"/>
      <c r="BG114" s="272"/>
      <c r="BH114" s="272"/>
      <c r="BI114" s="272"/>
      <c r="BJ114" s="272"/>
      <c r="BK114" s="272"/>
      <c r="BL114" s="272"/>
      <c r="BM114" s="272"/>
      <c r="BN114" s="272"/>
      <c r="BO114" s="272"/>
      <c r="BP114" s="272"/>
      <c r="BQ114" s="272"/>
      <c r="BR114" s="272"/>
      <c r="BS114" s="272"/>
      <c r="BT114" s="272"/>
      <c r="BU114" s="272"/>
      <c r="BV114" s="272"/>
      <c r="BW114" s="272"/>
    </row>
    <row r="115" spans="1:75" s="183" customFormat="1">
      <c r="A115" s="324"/>
      <c r="D115" s="271"/>
      <c r="E115" s="271"/>
      <c r="F115" s="271"/>
      <c r="G115" s="283"/>
      <c r="H115" s="283"/>
      <c r="I115" s="283"/>
      <c r="J115" s="271"/>
      <c r="K115" s="271"/>
      <c r="L115" s="271"/>
      <c r="M115" s="271"/>
      <c r="N115" s="271"/>
      <c r="O115" s="271"/>
      <c r="P115" s="323"/>
      <c r="Q115" s="271"/>
      <c r="R115" s="271"/>
      <c r="S115" s="271"/>
      <c r="T115" s="271"/>
      <c r="U115" s="272"/>
      <c r="V115" s="272"/>
      <c r="W115" s="272"/>
      <c r="X115" s="272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  <c r="AM115" s="272"/>
      <c r="AN115" s="272"/>
      <c r="AO115" s="272"/>
      <c r="AP115" s="272"/>
      <c r="AQ115" s="272"/>
      <c r="AR115" s="272"/>
      <c r="AS115" s="272"/>
      <c r="AT115" s="272"/>
      <c r="AU115" s="272"/>
      <c r="AV115" s="272"/>
      <c r="AW115" s="272"/>
      <c r="AX115" s="272"/>
      <c r="AY115" s="272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2"/>
      <c r="BO115" s="272"/>
      <c r="BP115" s="272"/>
      <c r="BQ115" s="272"/>
      <c r="BR115" s="272"/>
      <c r="BS115" s="272"/>
      <c r="BT115" s="272"/>
      <c r="BU115" s="272"/>
      <c r="BV115" s="272"/>
      <c r="BW115" s="272"/>
    </row>
    <row r="116" spans="1:75" s="183" customFormat="1">
      <c r="A116" s="324"/>
      <c r="D116" s="271"/>
      <c r="E116" s="271"/>
      <c r="F116" s="271"/>
      <c r="G116" s="283"/>
      <c r="H116" s="283"/>
      <c r="I116" s="283"/>
      <c r="J116" s="271"/>
      <c r="K116" s="271"/>
      <c r="L116" s="271"/>
      <c r="M116" s="271"/>
      <c r="N116" s="271"/>
      <c r="O116" s="271"/>
      <c r="P116" s="323"/>
      <c r="Q116" s="271"/>
      <c r="R116" s="271"/>
      <c r="S116" s="271"/>
      <c r="T116" s="271"/>
      <c r="U116" s="272"/>
      <c r="V116" s="272"/>
      <c r="W116" s="272"/>
      <c r="X116" s="272"/>
      <c r="Y116" s="272"/>
      <c r="Z116" s="272"/>
      <c r="AA116" s="272"/>
      <c r="AB116" s="272"/>
      <c r="AC116" s="272"/>
      <c r="AD116" s="272"/>
      <c r="AE116" s="272"/>
      <c r="AF116" s="272"/>
      <c r="AG116" s="272"/>
      <c r="AH116" s="272"/>
      <c r="AI116" s="272"/>
      <c r="AJ116" s="272"/>
      <c r="AK116" s="272"/>
      <c r="AL116" s="272"/>
      <c r="AM116" s="272"/>
      <c r="AN116" s="272"/>
      <c r="AO116" s="272"/>
      <c r="AP116" s="272"/>
      <c r="AQ116" s="272"/>
      <c r="AR116" s="272"/>
      <c r="AS116" s="272"/>
      <c r="AT116" s="272"/>
      <c r="AU116" s="272"/>
      <c r="AV116" s="272"/>
      <c r="AW116" s="272"/>
      <c r="AX116" s="272"/>
      <c r="AY116" s="272"/>
      <c r="AZ116" s="272"/>
      <c r="BA116" s="272"/>
      <c r="BB116" s="272"/>
      <c r="BC116" s="272"/>
      <c r="BD116" s="272"/>
      <c r="BE116" s="272"/>
      <c r="BF116" s="272"/>
      <c r="BG116" s="272"/>
      <c r="BH116" s="272"/>
      <c r="BI116" s="272"/>
      <c r="BJ116" s="272"/>
      <c r="BK116" s="272"/>
      <c r="BL116" s="272"/>
      <c r="BM116" s="272"/>
      <c r="BN116" s="272"/>
      <c r="BO116" s="272"/>
      <c r="BP116" s="272"/>
      <c r="BQ116" s="272"/>
      <c r="BR116" s="272"/>
      <c r="BS116" s="272"/>
      <c r="BT116" s="272"/>
      <c r="BU116" s="272"/>
      <c r="BV116" s="272"/>
      <c r="BW116" s="272"/>
    </row>
    <row r="117" spans="1:75" s="183" customFormat="1">
      <c r="A117" s="324"/>
      <c r="D117" s="271"/>
      <c r="E117" s="271"/>
      <c r="F117" s="271"/>
      <c r="G117" s="283"/>
      <c r="H117" s="283"/>
      <c r="I117" s="283"/>
      <c r="J117" s="271"/>
      <c r="K117" s="271"/>
      <c r="L117" s="271"/>
      <c r="M117" s="271"/>
      <c r="N117" s="271"/>
      <c r="O117" s="271"/>
      <c r="P117" s="323"/>
      <c r="Q117" s="271"/>
      <c r="R117" s="271"/>
      <c r="S117" s="271"/>
      <c r="T117" s="271"/>
      <c r="U117" s="272"/>
      <c r="V117" s="272"/>
      <c r="W117" s="272"/>
      <c r="X117" s="272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  <c r="AM117" s="272"/>
      <c r="AN117" s="272"/>
      <c r="AO117" s="272"/>
      <c r="AP117" s="272"/>
      <c r="AQ117" s="272"/>
      <c r="AR117" s="272"/>
      <c r="AS117" s="272"/>
      <c r="AT117" s="272"/>
      <c r="AU117" s="272"/>
      <c r="AV117" s="272"/>
      <c r="AW117" s="272"/>
      <c r="AX117" s="272"/>
      <c r="AY117" s="272"/>
      <c r="AZ117" s="272"/>
      <c r="BA117" s="272"/>
      <c r="BB117" s="272"/>
      <c r="BC117" s="272"/>
      <c r="BD117" s="272"/>
      <c r="BE117" s="272"/>
      <c r="BF117" s="272"/>
      <c r="BG117" s="272"/>
      <c r="BH117" s="272"/>
      <c r="BI117" s="272"/>
      <c r="BJ117" s="272"/>
      <c r="BK117" s="272"/>
      <c r="BL117" s="272"/>
      <c r="BM117" s="272"/>
      <c r="BN117" s="272"/>
      <c r="BO117" s="272"/>
      <c r="BP117" s="272"/>
      <c r="BQ117" s="272"/>
      <c r="BR117" s="272"/>
      <c r="BS117" s="272"/>
      <c r="BT117" s="272"/>
      <c r="BU117" s="272"/>
      <c r="BV117" s="272"/>
      <c r="BW117" s="272"/>
    </row>
    <row r="118" spans="1:75" s="183" customFormat="1">
      <c r="A118" s="324"/>
      <c r="D118" s="271"/>
      <c r="E118" s="271"/>
      <c r="F118" s="271"/>
      <c r="G118" s="283"/>
      <c r="H118" s="283"/>
      <c r="I118" s="283"/>
      <c r="J118" s="271"/>
      <c r="K118" s="271"/>
      <c r="L118" s="271"/>
      <c r="M118" s="271"/>
      <c r="N118" s="271"/>
      <c r="O118" s="271"/>
      <c r="P118" s="323"/>
      <c r="Q118" s="271"/>
      <c r="R118" s="271"/>
      <c r="S118" s="271"/>
      <c r="T118" s="271"/>
      <c r="U118" s="272"/>
      <c r="V118" s="272"/>
      <c r="W118" s="272"/>
      <c r="X118" s="272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2"/>
      <c r="AM118" s="272"/>
      <c r="AN118" s="272"/>
      <c r="AO118" s="272"/>
      <c r="AP118" s="272"/>
      <c r="AQ118" s="272"/>
      <c r="AR118" s="272"/>
      <c r="AS118" s="272"/>
      <c r="AT118" s="272"/>
      <c r="AU118" s="272"/>
      <c r="AV118" s="272"/>
      <c r="AW118" s="272"/>
      <c r="AX118" s="272"/>
      <c r="AY118" s="272"/>
      <c r="AZ118" s="272"/>
      <c r="BA118" s="272"/>
      <c r="BB118" s="272"/>
      <c r="BC118" s="272"/>
      <c r="BD118" s="272"/>
      <c r="BE118" s="272"/>
      <c r="BF118" s="272"/>
      <c r="BG118" s="272"/>
      <c r="BH118" s="272"/>
      <c r="BI118" s="272"/>
      <c r="BJ118" s="272"/>
      <c r="BK118" s="272"/>
      <c r="BL118" s="272"/>
      <c r="BM118" s="272"/>
      <c r="BN118" s="272"/>
      <c r="BO118" s="272"/>
      <c r="BP118" s="272"/>
      <c r="BQ118" s="272"/>
      <c r="BR118" s="272"/>
      <c r="BS118" s="272"/>
      <c r="BT118" s="272"/>
      <c r="BU118" s="272"/>
      <c r="BV118" s="272"/>
      <c r="BW118" s="272"/>
    </row>
    <row r="119" spans="1:75" s="183" customFormat="1">
      <c r="A119" s="324"/>
      <c r="D119" s="271"/>
      <c r="E119" s="271"/>
      <c r="F119" s="271"/>
      <c r="G119" s="283"/>
      <c r="H119" s="283"/>
      <c r="I119" s="283"/>
      <c r="J119" s="271"/>
      <c r="K119" s="271"/>
      <c r="L119" s="271"/>
      <c r="M119" s="271"/>
      <c r="N119" s="271"/>
      <c r="O119" s="271"/>
      <c r="P119" s="323"/>
      <c r="Q119" s="271"/>
      <c r="R119" s="271"/>
      <c r="S119" s="271"/>
      <c r="T119" s="271"/>
      <c r="U119" s="272"/>
      <c r="V119" s="272"/>
      <c r="W119" s="272"/>
      <c r="X119" s="272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  <c r="AO119" s="272"/>
      <c r="AP119" s="272"/>
      <c r="AQ119" s="272"/>
      <c r="AR119" s="272"/>
      <c r="AS119" s="272"/>
      <c r="AT119" s="272"/>
      <c r="AU119" s="272"/>
      <c r="AV119" s="272"/>
      <c r="AW119" s="272"/>
      <c r="AX119" s="272"/>
      <c r="AY119" s="272"/>
      <c r="AZ119" s="272"/>
      <c r="BA119" s="272"/>
      <c r="BB119" s="272"/>
      <c r="BC119" s="272"/>
      <c r="BD119" s="272"/>
      <c r="BE119" s="272"/>
      <c r="BF119" s="272"/>
      <c r="BG119" s="272"/>
      <c r="BH119" s="272"/>
      <c r="BI119" s="272"/>
      <c r="BJ119" s="272"/>
      <c r="BK119" s="272"/>
      <c r="BL119" s="272"/>
      <c r="BM119" s="272"/>
      <c r="BN119" s="272"/>
      <c r="BO119" s="272"/>
      <c r="BP119" s="272"/>
      <c r="BQ119" s="272"/>
      <c r="BR119" s="272"/>
      <c r="BS119" s="272"/>
      <c r="BT119" s="272"/>
      <c r="BU119" s="272"/>
      <c r="BV119" s="272"/>
      <c r="BW119" s="272"/>
    </row>
    <row r="120" spans="1:75" s="183" customFormat="1">
      <c r="A120" s="324"/>
      <c r="D120" s="271"/>
      <c r="E120" s="271"/>
      <c r="F120" s="271"/>
      <c r="G120" s="283"/>
      <c r="H120" s="283"/>
      <c r="I120" s="283"/>
      <c r="J120" s="271"/>
      <c r="K120" s="271"/>
      <c r="L120" s="271"/>
      <c r="M120" s="271"/>
      <c r="N120" s="271"/>
      <c r="O120" s="271"/>
      <c r="P120" s="323"/>
      <c r="Q120" s="271"/>
      <c r="R120" s="271"/>
      <c r="S120" s="271"/>
      <c r="T120" s="271"/>
      <c r="U120" s="272"/>
      <c r="V120" s="272"/>
      <c r="W120" s="272"/>
      <c r="X120" s="272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  <c r="AO120" s="272"/>
      <c r="AP120" s="272"/>
      <c r="AQ120" s="272"/>
      <c r="AR120" s="272"/>
      <c r="AS120" s="272"/>
      <c r="AT120" s="272"/>
      <c r="AU120" s="272"/>
      <c r="AV120" s="272"/>
      <c r="AW120" s="272"/>
      <c r="AX120" s="272"/>
      <c r="AY120" s="272"/>
      <c r="AZ120" s="272"/>
      <c r="BA120" s="272"/>
      <c r="BB120" s="272"/>
      <c r="BC120" s="272"/>
      <c r="BD120" s="272"/>
      <c r="BE120" s="272"/>
      <c r="BF120" s="272"/>
      <c r="BG120" s="272"/>
      <c r="BH120" s="272"/>
      <c r="BI120" s="272"/>
      <c r="BJ120" s="272"/>
      <c r="BK120" s="272"/>
      <c r="BL120" s="272"/>
      <c r="BM120" s="272"/>
      <c r="BN120" s="272"/>
      <c r="BO120" s="272"/>
      <c r="BP120" s="272"/>
      <c r="BQ120" s="272"/>
      <c r="BR120" s="272"/>
      <c r="BS120" s="272"/>
      <c r="BT120" s="272"/>
      <c r="BU120" s="272"/>
      <c r="BV120" s="272"/>
      <c r="BW120" s="272"/>
    </row>
    <row r="121" spans="1:75" s="183" customFormat="1">
      <c r="A121" s="324"/>
      <c r="D121" s="271"/>
      <c r="E121" s="271"/>
      <c r="F121" s="271"/>
      <c r="G121" s="283"/>
      <c r="H121" s="283"/>
      <c r="I121" s="283"/>
      <c r="J121" s="271"/>
      <c r="K121" s="271"/>
      <c r="L121" s="271"/>
      <c r="M121" s="271"/>
      <c r="N121" s="271"/>
      <c r="O121" s="271"/>
      <c r="P121" s="323"/>
      <c r="Q121" s="271"/>
      <c r="R121" s="271"/>
      <c r="S121" s="271"/>
      <c r="T121" s="271"/>
      <c r="U121" s="272"/>
      <c r="V121" s="272"/>
      <c r="W121" s="272"/>
      <c r="X121" s="272"/>
      <c r="Y121" s="272"/>
      <c r="Z121" s="272"/>
      <c r="AA121" s="272"/>
      <c r="AB121" s="272"/>
      <c r="AC121" s="272"/>
      <c r="AD121" s="272"/>
      <c r="AE121" s="272"/>
      <c r="AF121" s="272"/>
      <c r="AG121" s="272"/>
      <c r="AH121" s="272"/>
      <c r="AI121" s="272"/>
      <c r="AJ121" s="272"/>
      <c r="AK121" s="272"/>
      <c r="AL121" s="272"/>
      <c r="AM121" s="272"/>
      <c r="AN121" s="272"/>
      <c r="AO121" s="272"/>
      <c r="AP121" s="272"/>
      <c r="AQ121" s="272"/>
      <c r="AR121" s="272"/>
      <c r="AS121" s="272"/>
      <c r="AT121" s="272"/>
      <c r="AU121" s="272"/>
      <c r="AV121" s="272"/>
      <c r="AW121" s="272"/>
      <c r="AX121" s="272"/>
      <c r="AY121" s="272"/>
      <c r="AZ121" s="272"/>
      <c r="BA121" s="272"/>
      <c r="BB121" s="272"/>
      <c r="BC121" s="272"/>
      <c r="BD121" s="272"/>
      <c r="BE121" s="272"/>
      <c r="BF121" s="272"/>
      <c r="BG121" s="272"/>
      <c r="BH121" s="272"/>
      <c r="BI121" s="272"/>
      <c r="BJ121" s="272"/>
      <c r="BK121" s="272"/>
      <c r="BL121" s="272"/>
      <c r="BM121" s="272"/>
      <c r="BN121" s="272"/>
      <c r="BO121" s="272"/>
      <c r="BP121" s="272"/>
      <c r="BQ121" s="272"/>
      <c r="BR121" s="272"/>
      <c r="BS121" s="272"/>
      <c r="BT121" s="272"/>
      <c r="BU121" s="272"/>
      <c r="BV121" s="272"/>
      <c r="BW121" s="272"/>
    </row>
    <row r="122" spans="1:75" s="183" customFormat="1">
      <c r="A122" s="324"/>
      <c r="D122" s="271"/>
      <c r="E122" s="271"/>
      <c r="F122" s="271"/>
      <c r="G122" s="283"/>
      <c r="H122" s="283"/>
      <c r="I122" s="283"/>
      <c r="J122" s="271"/>
      <c r="K122" s="271"/>
      <c r="L122" s="271"/>
      <c r="M122" s="271"/>
      <c r="N122" s="271"/>
      <c r="O122" s="271"/>
      <c r="P122" s="323"/>
      <c r="Q122" s="271"/>
      <c r="R122" s="271"/>
      <c r="S122" s="271"/>
      <c r="T122" s="271"/>
      <c r="U122" s="272"/>
      <c r="V122" s="272"/>
      <c r="W122" s="272"/>
      <c r="X122" s="272"/>
      <c r="Y122" s="272"/>
      <c r="Z122" s="272"/>
      <c r="AA122" s="272"/>
      <c r="AB122" s="272"/>
      <c r="AC122" s="272"/>
      <c r="AD122" s="272"/>
      <c r="AE122" s="272"/>
      <c r="AF122" s="272"/>
      <c r="AG122" s="272"/>
      <c r="AH122" s="272"/>
      <c r="AI122" s="272"/>
      <c r="AJ122" s="272"/>
      <c r="AK122" s="272"/>
      <c r="AL122" s="272"/>
      <c r="AM122" s="272"/>
      <c r="AN122" s="272"/>
      <c r="AO122" s="272"/>
      <c r="AP122" s="272"/>
      <c r="AQ122" s="272"/>
      <c r="AR122" s="272"/>
      <c r="AS122" s="272"/>
      <c r="AT122" s="272"/>
      <c r="AU122" s="272"/>
      <c r="AV122" s="272"/>
      <c r="AW122" s="272"/>
      <c r="AX122" s="272"/>
      <c r="AY122" s="272"/>
      <c r="AZ122" s="272"/>
      <c r="BA122" s="272"/>
      <c r="BB122" s="272"/>
      <c r="BC122" s="272"/>
      <c r="BD122" s="272"/>
      <c r="BE122" s="272"/>
      <c r="BF122" s="272"/>
      <c r="BG122" s="272"/>
      <c r="BH122" s="272"/>
      <c r="BI122" s="272"/>
      <c r="BJ122" s="272"/>
      <c r="BK122" s="272"/>
      <c r="BL122" s="272"/>
      <c r="BM122" s="272"/>
      <c r="BN122" s="272"/>
      <c r="BO122" s="272"/>
      <c r="BP122" s="272"/>
      <c r="BQ122" s="272"/>
      <c r="BR122" s="272"/>
      <c r="BS122" s="272"/>
      <c r="BT122" s="272"/>
      <c r="BU122" s="272"/>
      <c r="BV122" s="272"/>
      <c r="BW122" s="272"/>
    </row>
    <row r="123" spans="1:75" s="183" customFormat="1">
      <c r="A123" s="324"/>
      <c r="D123" s="271"/>
      <c r="E123" s="271"/>
      <c r="F123" s="271"/>
      <c r="G123" s="283"/>
      <c r="H123" s="283"/>
      <c r="I123" s="283"/>
      <c r="J123" s="271"/>
      <c r="K123" s="271"/>
      <c r="L123" s="271"/>
      <c r="M123" s="271"/>
      <c r="N123" s="271"/>
      <c r="O123" s="271"/>
      <c r="P123" s="323"/>
      <c r="Q123" s="271"/>
      <c r="R123" s="271"/>
      <c r="S123" s="271"/>
      <c r="T123" s="271"/>
      <c r="U123" s="272"/>
      <c r="V123" s="272"/>
      <c r="W123" s="272"/>
      <c r="X123" s="272"/>
      <c r="Y123" s="272"/>
      <c r="Z123" s="272"/>
      <c r="AA123" s="272"/>
      <c r="AB123" s="272"/>
      <c r="AC123" s="272"/>
      <c r="AD123" s="272"/>
      <c r="AE123" s="272"/>
      <c r="AF123" s="272"/>
      <c r="AG123" s="272"/>
      <c r="AH123" s="272"/>
      <c r="AI123" s="272"/>
      <c r="AJ123" s="272"/>
      <c r="AK123" s="272"/>
      <c r="AL123" s="272"/>
      <c r="AM123" s="272"/>
      <c r="AN123" s="272"/>
      <c r="AO123" s="272"/>
      <c r="AP123" s="272"/>
      <c r="AQ123" s="272"/>
      <c r="AR123" s="272"/>
      <c r="AS123" s="272"/>
      <c r="AT123" s="272"/>
      <c r="AU123" s="272"/>
      <c r="AV123" s="272"/>
      <c r="AW123" s="272"/>
      <c r="AX123" s="272"/>
      <c r="AY123" s="272"/>
      <c r="AZ123" s="272"/>
      <c r="BA123" s="272"/>
      <c r="BB123" s="272"/>
      <c r="BC123" s="272"/>
      <c r="BD123" s="272"/>
      <c r="BE123" s="272"/>
      <c r="BF123" s="272"/>
      <c r="BG123" s="272"/>
      <c r="BH123" s="272"/>
      <c r="BI123" s="272"/>
      <c r="BJ123" s="272"/>
      <c r="BK123" s="272"/>
      <c r="BL123" s="272"/>
      <c r="BM123" s="272"/>
      <c r="BN123" s="272"/>
      <c r="BO123" s="272"/>
      <c r="BP123" s="272"/>
      <c r="BQ123" s="272"/>
      <c r="BR123" s="272"/>
      <c r="BS123" s="272"/>
      <c r="BT123" s="272"/>
      <c r="BU123" s="272"/>
      <c r="BV123" s="272"/>
      <c r="BW123" s="272"/>
    </row>
    <row r="124" spans="1:75" s="183" customFormat="1">
      <c r="A124" s="324"/>
      <c r="D124" s="271"/>
      <c r="E124" s="271"/>
      <c r="F124" s="271"/>
      <c r="G124" s="283"/>
      <c r="H124" s="283"/>
      <c r="I124" s="283"/>
      <c r="J124" s="271"/>
      <c r="K124" s="271"/>
      <c r="L124" s="271"/>
      <c r="M124" s="271"/>
      <c r="N124" s="271"/>
      <c r="O124" s="271"/>
      <c r="P124" s="323"/>
      <c r="Q124" s="271"/>
      <c r="R124" s="271"/>
      <c r="S124" s="271"/>
      <c r="T124" s="271"/>
      <c r="U124" s="272"/>
      <c r="V124" s="272"/>
      <c r="W124" s="272"/>
      <c r="X124" s="272"/>
      <c r="Y124" s="272"/>
      <c r="Z124" s="272"/>
      <c r="AA124" s="272"/>
      <c r="AB124" s="272"/>
      <c r="AC124" s="272"/>
      <c r="AD124" s="272"/>
      <c r="AE124" s="272"/>
      <c r="AF124" s="272"/>
      <c r="AG124" s="272"/>
      <c r="AH124" s="272"/>
      <c r="AI124" s="272"/>
      <c r="AJ124" s="272"/>
      <c r="AK124" s="272"/>
      <c r="AL124" s="272"/>
      <c r="AM124" s="272"/>
      <c r="AN124" s="272"/>
      <c r="AO124" s="272"/>
      <c r="AP124" s="272"/>
      <c r="AQ124" s="272"/>
      <c r="AR124" s="272"/>
      <c r="AS124" s="272"/>
      <c r="AT124" s="272"/>
      <c r="AU124" s="272"/>
      <c r="AV124" s="272"/>
      <c r="AW124" s="272"/>
      <c r="AX124" s="272"/>
      <c r="AY124" s="272"/>
      <c r="AZ124" s="272"/>
      <c r="BA124" s="272"/>
      <c r="BB124" s="272"/>
      <c r="BC124" s="272"/>
      <c r="BD124" s="272"/>
      <c r="BE124" s="272"/>
      <c r="BF124" s="272"/>
      <c r="BG124" s="272"/>
      <c r="BH124" s="272"/>
      <c r="BI124" s="272"/>
      <c r="BJ124" s="272"/>
      <c r="BK124" s="272"/>
      <c r="BL124" s="272"/>
      <c r="BM124" s="272"/>
      <c r="BN124" s="272"/>
      <c r="BO124" s="272"/>
      <c r="BP124" s="272"/>
      <c r="BQ124" s="272"/>
      <c r="BR124" s="272"/>
      <c r="BS124" s="272"/>
      <c r="BT124" s="272"/>
      <c r="BU124" s="272"/>
      <c r="BV124" s="272"/>
      <c r="BW124" s="272"/>
    </row>
    <row r="125" spans="1:75" s="183" customFormat="1">
      <c r="A125" s="324"/>
      <c r="D125" s="271"/>
      <c r="E125" s="271"/>
      <c r="F125" s="271"/>
      <c r="G125" s="283"/>
      <c r="H125" s="283"/>
      <c r="I125" s="283"/>
      <c r="J125" s="271"/>
      <c r="K125" s="271"/>
      <c r="L125" s="271"/>
      <c r="M125" s="271"/>
      <c r="N125" s="271"/>
      <c r="O125" s="271"/>
      <c r="P125" s="323"/>
      <c r="Q125" s="271"/>
      <c r="R125" s="271"/>
      <c r="S125" s="271"/>
      <c r="T125" s="271"/>
      <c r="U125" s="272"/>
      <c r="V125" s="272"/>
      <c r="W125" s="272"/>
      <c r="X125" s="272"/>
      <c r="Y125" s="272"/>
      <c r="Z125" s="272"/>
      <c r="AA125" s="272"/>
      <c r="AB125" s="272"/>
      <c r="AC125" s="272"/>
      <c r="AD125" s="272"/>
      <c r="AE125" s="272"/>
      <c r="AF125" s="272"/>
      <c r="AG125" s="272"/>
      <c r="AH125" s="272"/>
      <c r="AI125" s="272"/>
      <c r="AJ125" s="272"/>
      <c r="AK125" s="272"/>
      <c r="AL125" s="272"/>
      <c r="AM125" s="272"/>
      <c r="AN125" s="272"/>
      <c r="AO125" s="272"/>
      <c r="AP125" s="272"/>
      <c r="AQ125" s="272"/>
      <c r="AR125" s="272"/>
      <c r="AS125" s="272"/>
      <c r="AT125" s="272"/>
      <c r="AU125" s="272"/>
      <c r="AV125" s="272"/>
      <c r="AW125" s="272"/>
      <c r="AX125" s="272"/>
      <c r="AY125" s="272"/>
      <c r="AZ125" s="272"/>
      <c r="BA125" s="272"/>
      <c r="BB125" s="272"/>
      <c r="BC125" s="272"/>
      <c r="BD125" s="272"/>
      <c r="BE125" s="272"/>
      <c r="BF125" s="272"/>
      <c r="BG125" s="272"/>
      <c r="BH125" s="272"/>
      <c r="BI125" s="272"/>
      <c r="BJ125" s="272"/>
      <c r="BK125" s="272"/>
      <c r="BL125" s="272"/>
      <c r="BM125" s="272"/>
      <c r="BN125" s="272"/>
      <c r="BO125" s="272"/>
      <c r="BP125" s="272"/>
      <c r="BQ125" s="272"/>
      <c r="BR125" s="272"/>
      <c r="BS125" s="272"/>
      <c r="BT125" s="272"/>
      <c r="BU125" s="272"/>
      <c r="BV125" s="272"/>
      <c r="BW125" s="272"/>
    </row>
    <row r="126" spans="1:75" s="183" customFormat="1">
      <c r="A126" s="324"/>
      <c r="D126" s="271"/>
      <c r="E126" s="271"/>
      <c r="F126" s="271"/>
      <c r="G126" s="283"/>
      <c r="H126" s="283"/>
      <c r="I126" s="283"/>
      <c r="J126" s="271"/>
      <c r="K126" s="271"/>
      <c r="L126" s="271"/>
      <c r="M126" s="271"/>
      <c r="N126" s="271"/>
      <c r="O126" s="271"/>
      <c r="P126" s="323"/>
      <c r="Q126" s="271"/>
      <c r="R126" s="271"/>
      <c r="S126" s="271"/>
      <c r="T126" s="271"/>
      <c r="U126" s="272"/>
      <c r="V126" s="272"/>
      <c r="W126" s="272"/>
      <c r="X126" s="272"/>
      <c r="Y126" s="272"/>
      <c r="Z126" s="272"/>
      <c r="AA126" s="272"/>
      <c r="AB126" s="272"/>
      <c r="AC126" s="272"/>
      <c r="AD126" s="272"/>
      <c r="AE126" s="272"/>
      <c r="AF126" s="272"/>
      <c r="AG126" s="272"/>
      <c r="AH126" s="272"/>
      <c r="AI126" s="272"/>
      <c r="AJ126" s="272"/>
      <c r="AK126" s="272"/>
      <c r="AL126" s="272"/>
      <c r="AM126" s="272"/>
      <c r="AN126" s="272"/>
      <c r="AO126" s="272"/>
      <c r="AP126" s="272"/>
      <c r="AQ126" s="272"/>
      <c r="AR126" s="272"/>
      <c r="AS126" s="272"/>
      <c r="AT126" s="272"/>
      <c r="AU126" s="272"/>
      <c r="AV126" s="272"/>
      <c r="AW126" s="272"/>
      <c r="AX126" s="272"/>
      <c r="AY126" s="272"/>
      <c r="AZ126" s="272"/>
      <c r="BA126" s="272"/>
      <c r="BB126" s="272"/>
      <c r="BC126" s="272"/>
      <c r="BD126" s="272"/>
      <c r="BE126" s="272"/>
      <c r="BF126" s="272"/>
      <c r="BG126" s="272"/>
      <c r="BH126" s="272"/>
      <c r="BI126" s="272"/>
      <c r="BJ126" s="272"/>
      <c r="BK126" s="272"/>
      <c r="BL126" s="272"/>
      <c r="BM126" s="272"/>
      <c r="BN126" s="272"/>
      <c r="BO126" s="272"/>
      <c r="BP126" s="272"/>
      <c r="BQ126" s="272"/>
      <c r="BR126" s="272"/>
      <c r="BS126" s="272"/>
      <c r="BT126" s="272"/>
      <c r="BU126" s="272"/>
      <c r="BV126" s="272"/>
      <c r="BW126" s="272"/>
    </row>
    <row r="127" spans="1:75" s="183" customFormat="1">
      <c r="A127" s="324"/>
      <c r="D127" s="271"/>
      <c r="E127" s="271"/>
      <c r="F127" s="271"/>
      <c r="G127" s="283"/>
      <c r="H127" s="283"/>
      <c r="I127" s="283"/>
      <c r="J127" s="271"/>
      <c r="K127" s="271"/>
      <c r="L127" s="271"/>
      <c r="M127" s="271"/>
      <c r="N127" s="271"/>
      <c r="O127" s="271"/>
      <c r="P127" s="323"/>
      <c r="Q127" s="271"/>
      <c r="R127" s="271"/>
      <c r="S127" s="271"/>
      <c r="T127" s="271"/>
      <c r="U127" s="272"/>
      <c r="V127" s="272"/>
      <c r="W127" s="272"/>
      <c r="X127" s="272"/>
      <c r="Y127" s="272"/>
      <c r="Z127" s="272"/>
      <c r="AA127" s="272"/>
      <c r="AB127" s="272"/>
      <c r="AC127" s="272"/>
      <c r="AD127" s="272"/>
      <c r="AE127" s="272"/>
      <c r="AF127" s="272"/>
      <c r="AG127" s="272"/>
      <c r="AH127" s="272"/>
      <c r="AI127" s="272"/>
      <c r="AJ127" s="272"/>
      <c r="AK127" s="272"/>
      <c r="AL127" s="272"/>
      <c r="AM127" s="272"/>
      <c r="AN127" s="272"/>
      <c r="AO127" s="272"/>
      <c r="AP127" s="272"/>
      <c r="AQ127" s="272"/>
      <c r="AR127" s="272"/>
      <c r="AS127" s="272"/>
      <c r="AT127" s="272"/>
      <c r="AU127" s="272"/>
      <c r="AV127" s="272"/>
      <c r="AW127" s="272"/>
      <c r="AX127" s="272"/>
      <c r="AY127" s="272"/>
      <c r="AZ127" s="272"/>
      <c r="BA127" s="272"/>
      <c r="BB127" s="272"/>
      <c r="BC127" s="272"/>
      <c r="BD127" s="272"/>
      <c r="BE127" s="272"/>
      <c r="BF127" s="272"/>
      <c r="BG127" s="272"/>
      <c r="BH127" s="272"/>
      <c r="BI127" s="272"/>
      <c r="BJ127" s="272"/>
      <c r="BK127" s="272"/>
      <c r="BL127" s="272"/>
      <c r="BM127" s="272"/>
      <c r="BN127" s="272"/>
      <c r="BO127" s="272"/>
      <c r="BP127" s="272"/>
      <c r="BQ127" s="272"/>
      <c r="BR127" s="272"/>
      <c r="BS127" s="272"/>
      <c r="BT127" s="272"/>
      <c r="BU127" s="272"/>
      <c r="BV127" s="272"/>
      <c r="BW127" s="272"/>
    </row>
    <row r="128" spans="1:75" s="183" customFormat="1">
      <c r="A128" s="324"/>
      <c r="D128" s="271"/>
      <c r="E128" s="271"/>
      <c r="F128" s="271"/>
      <c r="G128" s="283"/>
      <c r="H128" s="283"/>
      <c r="I128" s="283"/>
      <c r="J128" s="271"/>
      <c r="K128" s="271"/>
      <c r="L128" s="271"/>
      <c r="M128" s="271"/>
      <c r="N128" s="271"/>
      <c r="O128" s="271"/>
      <c r="P128" s="323"/>
      <c r="Q128" s="271"/>
      <c r="R128" s="271"/>
      <c r="S128" s="271"/>
      <c r="T128" s="271"/>
      <c r="U128" s="272"/>
      <c r="V128" s="272"/>
      <c r="W128" s="272"/>
      <c r="X128" s="272"/>
      <c r="Y128" s="272"/>
      <c r="Z128" s="272"/>
      <c r="AA128" s="272"/>
      <c r="AB128" s="272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  <c r="AM128" s="272"/>
      <c r="AN128" s="272"/>
      <c r="AO128" s="272"/>
      <c r="AP128" s="272"/>
      <c r="AQ128" s="272"/>
      <c r="AR128" s="272"/>
      <c r="AS128" s="272"/>
      <c r="AT128" s="272"/>
      <c r="AU128" s="272"/>
      <c r="AV128" s="272"/>
      <c r="AW128" s="272"/>
      <c r="AX128" s="272"/>
      <c r="AY128" s="272"/>
      <c r="AZ128" s="272"/>
      <c r="BA128" s="272"/>
      <c r="BB128" s="272"/>
      <c r="BC128" s="272"/>
      <c r="BD128" s="272"/>
      <c r="BE128" s="272"/>
      <c r="BF128" s="272"/>
      <c r="BG128" s="272"/>
      <c r="BH128" s="272"/>
      <c r="BI128" s="272"/>
      <c r="BJ128" s="272"/>
      <c r="BK128" s="272"/>
      <c r="BL128" s="272"/>
      <c r="BM128" s="272"/>
      <c r="BN128" s="272"/>
      <c r="BO128" s="272"/>
      <c r="BP128" s="272"/>
      <c r="BQ128" s="272"/>
      <c r="BR128" s="272"/>
      <c r="BS128" s="272"/>
      <c r="BT128" s="272"/>
      <c r="BU128" s="272"/>
      <c r="BV128" s="272"/>
      <c r="BW128" s="272"/>
    </row>
    <row r="129" spans="1:75" s="183" customFormat="1">
      <c r="A129" s="324"/>
      <c r="D129" s="271"/>
      <c r="E129" s="271"/>
      <c r="F129" s="271"/>
      <c r="G129" s="283"/>
      <c r="H129" s="283"/>
      <c r="I129" s="283"/>
      <c r="J129" s="271"/>
      <c r="K129" s="271"/>
      <c r="L129" s="271"/>
      <c r="M129" s="271"/>
      <c r="N129" s="271"/>
      <c r="O129" s="271"/>
      <c r="P129" s="323"/>
      <c r="Q129" s="271"/>
      <c r="R129" s="271"/>
      <c r="S129" s="271"/>
      <c r="T129" s="271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2"/>
      <c r="BI129" s="272"/>
      <c r="BJ129" s="272"/>
      <c r="BK129" s="272"/>
      <c r="BL129" s="272"/>
      <c r="BM129" s="272"/>
      <c r="BN129" s="272"/>
      <c r="BO129" s="272"/>
      <c r="BP129" s="272"/>
      <c r="BQ129" s="272"/>
      <c r="BR129" s="272"/>
      <c r="BS129" s="272"/>
      <c r="BT129" s="272"/>
      <c r="BU129" s="272"/>
      <c r="BV129" s="272"/>
      <c r="BW129" s="272"/>
    </row>
    <row r="130" spans="1:75" s="183" customFormat="1">
      <c r="A130" s="324"/>
      <c r="D130" s="271"/>
      <c r="E130" s="271"/>
      <c r="F130" s="271"/>
      <c r="G130" s="283"/>
      <c r="H130" s="283"/>
      <c r="I130" s="283"/>
      <c r="J130" s="271"/>
      <c r="K130" s="271"/>
      <c r="L130" s="271"/>
      <c r="M130" s="271"/>
      <c r="N130" s="271"/>
      <c r="O130" s="271"/>
      <c r="P130" s="323"/>
      <c r="Q130" s="271"/>
      <c r="R130" s="271"/>
      <c r="S130" s="271"/>
      <c r="T130" s="271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  <c r="AM130" s="272"/>
      <c r="AN130" s="272"/>
      <c r="AO130" s="272"/>
      <c r="AP130" s="272"/>
      <c r="AQ130" s="272"/>
      <c r="AR130" s="272"/>
      <c r="AS130" s="272"/>
      <c r="AT130" s="272"/>
      <c r="AU130" s="272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2"/>
      <c r="BI130" s="272"/>
      <c r="BJ130" s="272"/>
      <c r="BK130" s="272"/>
      <c r="BL130" s="272"/>
      <c r="BM130" s="272"/>
      <c r="BN130" s="272"/>
      <c r="BO130" s="272"/>
      <c r="BP130" s="272"/>
      <c r="BQ130" s="272"/>
      <c r="BR130" s="272"/>
      <c r="BS130" s="272"/>
      <c r="BT130" s="272"/>
      <c r="BU130" s="272"/>
      <c r="BV130" s="272"/>
      <c r="BW130" s="272"/>
    </row>
    <row r="131" spans="1:75" s="183" customFormat="1">
      <c r="A131" s="324"/>
      <c r="D131" s="271"/>
      <c r="E131" s="271"/>
      <c r="F131" s="271"/>
      <c r="G131" s="283"/>
      <c r="H131" s="283"/>
      <c r="I131" s="283"/>
      <c r="J131" s="271"/>
      <c r="K131" s="271"/>
      <c r="L131" s="271"/>
      <c r="M131" s="271"/>
      <c r="N131" s="271"/>
      <c r="O131" s="271"/>
      <c r="P131" s="323"/>
      <c r="Q131" s="271"/>
      <c r="R131" s="271"/>
      <c r="S131" s="271"/>
      <c r="T131" s="271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  <c r="AO131" s="272"/>
      <c r="AP131" s="272"/>
      <c r="AQ131" s="272"/>
      <c r="AR131" s="272"/>
      <c r="AS131" s="272"/>
      <c r="AT131" s="272"/>
      <c r="AU131" s="272"/>
      <c r="AV131" s="272"/>
      <c r="AW131" s="272"/>
      <c r="AX131" s="272"/>
      <c r="AY131" s="272"/>
      <c r="AZ131" s="272"/>
      <c r="BA131" s="272"/>
      <c r="BB131" s="272"/>
      <c r="BC131" s="272"/>
      <c r="BD131" s="272"/>
      <c r="BE131" s="272"/>
      <c r="BF131" s="272"/>
      <c r="BG131" s="272"/>
      <c r="BH131" s="272"/>
      <c r="BI131" s="272"/>
      <c r="BJ131" s="272"/>
      <c r="BK131" s="272"/>
      <c r="BL131" s="272"/>
      <c r="BM131" s="272"/>
      <c r="BN131" s="272"/>
      <c r="BO131" s="272"/>
      <c r="BP131" s="272"/>
      <c r="BQ131" s="272"/>
      <c r="BR131" s="272"/>
      <c r="BS131" s="272"/>
      <c r="BT131" s="272"/>
      <c r="BU131" s="272"/>
      <c r="BV131" s="272"/>
      <c r="BW131" s="272"/>
    </row>
    <row r="132" spans="1:75" s="183" customFormat="1">
      <c r="A132" s="324"/>
      <c r="D132" s="271"/>
      <c r="E132" s="271"/>
      <c r="F132" s="271"/>
      <c r="G132" s="283"/>
      <c r="H132" s="283"/>
      <c r="I132" s="283"/>
      <c r="J132" s="271"/>
      <c r="K132" s="271"/>
      <c r="L132" s="271"/>
      <c r="M132" s="271"/>
      <c r="N132" s="271"/>
      <c r="O132" s="271"/>
      <c r="P132" s="323"/>
      <c r="Q132" s="271"/>
      <c r="R132" s="271"/>
      <c r="S132" s="271"/>
      <c r="T132" s="271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  <c r="AM132" s="272"/>
      <c r="AN132" s="272"/>
      <c r="AO132" s="272"/>
      <c r="AP132" s="272"/>
      <c r="AQ132" s="272"/>
      <c r="AR132" s="272"/>
      <c r="AS132" s="272"/>
      <c r="AT132" s="272"/>
      <c r="AU132" s="272"/>
      <c r="AV132" s="272"/>
      <c r="AW132" s="272"/>
      <c r="AX132" s="272"/>
      <c r="AY132" s="272"/>
      <c r="AZ132" s="272"/>
      <c r="BA132" s="272"/>
      <c r="BB132" s="272"/>
      <c r="BC132" s="272"/>
      <c r="BD132" s="272"/>
      <c r="BE132" s="272"/>
      <c r="BF132" s="272"/>
      <c r="BG132" s="272"/>
      <c r="BH132" s="272"/>
      <c r="BI132" s="272"/>
      <c r="BJ132" s="272"/>
      <c r="BK132" s="272"/>
      <c r="BL132" s="272"/>
      <c r="BM132" s="272"/>
      <c r="BN132" s="272"/>
      <c r="BO132" s="272"/>
      <c r="BP132" s="272"/>
      <c r="BQ132" s="272"/>
      <c r="BR132" s="272"/>
      <c r="BS132" s="272"/>
      <c r="BT132" s="272"/>
      <c r="BU132" s="272"/>
      <c r="BV132" s="272"/>
      <c r="BW132" s="272"/>
    </row>
    <row r="133" spans="1:75" s="183" customFormat="1">
      <c r="A133" s="324"/>
      <c r="D133" s="271"/>
      <c r="E133" s="271"/>
      <c r="F133" s="271"/>
      <c r="G133" s="283"/>
      <c r="H133" s="283"/>
      <c r="I133" s="283"/>
      <c r="J133" s="271"/>
      <c r="K133" s="271"/>
      <c r="L133" s="271"/>
      <c r="M133" s="271"/>
      <c r="N133" s="271"/>
      <c r="O133" s="271"/>
      <c r="P133" s="323"/>
      <c r="Q133" s="271"/>
      <c r="R133" s="271"/>
      <c r="S133" s="271"/>
      <c r="T133" s="271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2"/>
      <c r="AO133" s="272"/>
      <c r="AP133" s="272"/>
      <c r="AQ133" s="272"/>
      <c r="AR133" s="272"/>
      <c r="AS133" s="272"/>
      <c r="AT133" s="272"/>
      <c r="AU133" s="272"/>
      <c r="AV133" s="272"/>
      <c r="AW133" s="272"/>
      <c r="AX133" s="272"/>
      <c r="AY133" s="272"/>
      <c r="AZ133" s="272"/>
      <c r="BA133" s="272"/>
      <c r="BB133" s="272"/>
      <c r="BC133" s="272"/>
      <c r="BD133" s="272"/>
      <c r="BE133" s="272"/>
      <c r="BF133" s="272"/>
      <c r="BG133" s="272"/>
      <c r="BH133" s="272"/>
      <c r="BI133" s="272"/>
      <c r="BJ133" s="272"/>
      <c r="BK133" s="272"/>
      <c r="BL133" s="272"/>
      <c r="BM133" s="272"/>
      <c r="BN133" s="272"/>
      <c r="BO133" s="272"/>
      <c r="BP133" s="272"/>
      <c r="BQ133" s="272"/>
      <c r="BR133" s="272"/>
      <c r="BS133" s="272"/>
      <c r="BT133" s="272"/>
      <c r="BU133" s="272"/>
      <c r="BV133" s="272"/>
      <c r="BW133" s="272"/>
    </row>
    <row r="134" spans="1:75" s="183" customFormat="1">
      <c r="A134" s="324"/>
      <c r="D134" s="271"/>
      <c r="E134" s="271"/>
      <c r="F134" s="271"/>
      <c r="G134" s="283"/>
      <c r="H134" s="283"/>
      <c r="I134" s="283"/>
      <c r="J134" s="271"/>
      <c r="K134" s="271"/>
      <c r="L134" s="271"/>
      <c r="M134" s="271"/>
      <c r="N134" s="271"/>
      <c r="O134" s="271"/>
      <c r="P134" s="323"/>
      <c r="Q134" s="271"/>
      <c r="R134" s="271"/>
      <c r="S134" s="271"/>
      <c r="T134" s="271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  <c r="AE134" s="272"/>
      <c r="AF134" s="272"/>
      <c r="AG134" s="272"/>
      <c r="AH134" s="272"/>
      <c r="AI134" s="272"/>
      <c r="AJ134" s="272"/>
      <c r="AK134" s="272"/>
      <c r="AL134" s="272"/>
      <c r="AM134" s="272"/>
      <c r="AN134" s="272"/>
      <c r="AO134" s="272"/>
      <c r="AP134" s="272"/>
      <c r="AQ134" s="272"/>
      <c r="AR134" s="272"/>
      <c r="AS134" s="272"/>
      <c r="AT134" s="272"/>
      <c r="AU134" s="272"/>
      <c r="AV134" s="272"/>
      <c r="AW134" s="272"/>
      <c r="AX134" s="272"/>
      <c r="AY134" s="272"/>
      <c r="AZ134" s="272"/>
      <c r="BA134" s="272"/>
      <c r="BB134" s="272"/>
      <c r="BC134" s="272"/>
      <c r="BD134" s="272"/>
      <c r="BE134" s="272"/>
      <c r="BF134" s="272"/>
      <c r="BG134" s="272"/>
      <c r="BH134" s="272"/>
      <c r="BI134" s="272"/>
      <c r="BJ134" s="272"/>
      <c r="BK134" s="272"/>
      <c r="BL134" s="272"/>
      <c r="BM134" s="272"/>
      <c r="BN134" s="272"/>
      <c r="BO134" s="272"/>
      <c r="BP134" s="272"/>
      <c r="BQ134" s="272"/>
      <c r="BR134" s="272"/>
      <c r="BS134" s="272"/>
      <c r="BT134" s="272"/>
      <c r="BU134" s="272"/>
      <c r="BV134" s="272"/>
      <c r="BW134" s="272"/>
    </row>
    <row r="135" spans="1:75" s="183" customFormat="1">
      <c r="A135" s="324"/>
      <c r="D135" s="271"/>
      <c r="E135" s="271"/>
      <c r="F135" s="271"/>
      <c r="G135" s="283"/>
      <c r="H135" s="283"/>
      <c r="I135" s="283"/>
      <c r="J135" s="271"/>
      <c r="K135" s="271"/>
      <c r="L135" s="271"/>
      <c r="M135" s="271"/>
      <c r="N135" s="271"/>
      <c r="O135" s="271"/>
      <c r="P135" s="323"/>
      <c r="Q135" s="271"/>
      <c r="R135" s="271"/>
      <c r="S135" s="271"/>
      <c r="T135" s="271"/>
      <c r="U135" s="272"/>
      <c r="V135" s="272"/>
      <c r="W135" s="272"/>
      <c r="X135" s="272"/>
      <c r="Y135" s="272"/>
      <c r="Z135" s="272"/>
      <c r="AA135" s="272"/>
      <c r="AB135" s="272"/>
      <c r="AC135" s="272"/>
      <c r="AD135" s="272"/>
      <c r="AE135" s="272"/>
      <c r="AF135" s="272"/>
      <c r="AG135" s="272"/>
      <c r="AH135" s="272"/>
      <c r="AI135" s="272"/>
      <c r="AJ135" s="272"/>
      <c r="AK135" s="272"/>
      <c r="AL135" s="272"/>
      <c r="AM135" s="272"/>
      <c r="AN135" s="272"/>
      <c r="AO135" s="272"/>
      <c r="AP135" s="272"/>
      <c r="AQ135" s="272"/>
      <c r="AR135" s="272"/>
      <c r="AS135" s="272"/>
      <c r="AT135" s="272"/>
      <c r="AU135" s="272"/>
      <c r="AV135" s="272"/>
      <c r="AW135" s="272"/>
      <c r="AX135" s="272"/>
      <c r="AY135" s="272"/>
      <c r="AZ135" s="272"/>
      <c r="BA135" s="272"/>
      <c r="BB135" s="272"/>
      <c r="BC135" s="272"/>
      <c r="BD135" s="272"/>
      <c r="BE135" s="272"/>
      <c r="BF135" s="272"/>
      <c r="BG135" s="272"/>
      <c r="BH135" s="272"/>
      <c r="BI135" s="272"/>
      <c r="BJ135" s="272"/>
      <c r="BK135" s="272"/>
      <c r="BL135" s="272"/>
      <c r="BM135" s="272"/>
      <c r="BN135" s="272"/>
      <c r="BO135" s="272"/>
      <c r="BP135" s="272"/>
      <c r="BQ135" s="272"/>
      <c r="BR135" s="272"/>
      <c r="BS135" s="272"/>
      <c r="BT135" s="272"/>
      <c r="BU135" s="272"/>
      <c r="BV135" s="272"/>
      <c r="BW135" s="272"/>
    </row>
    <row r="136" spans="1:75" s="183" customFormat="1">
      <c r="A136" s="324"/>
      <c r="D136" s="271"/>
      <c r="E136" s="271"/>
      <c r="F136" s="271"/>
      <c r="G136" s="283"/>
      <c r="H136" s="283"/>
      <c r="I136" s="283"/>
      <c r="J136" s="271"/>
      <c r="K136" s="271"/>
      <c r="L136" s="271"/>
      <c r="M136" s="271"/>
      <c r="N136" s="271"/>
      <c r="O136" s="271"/>
      <c r="P136" s="323"/>
      <c r="Q136" s="271"/>
      <c r="R136" s="271"/>
      <c r="S136" s="271"/>
      <c r="T136" s="271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2"/>
      <c r="AL136" s="272"/>
      <c r="AM136" s="272"/>
      <c r="AN136" s="272"/>
      <c r="AO136" s="272"/>
      <c r="AP136" s="272"/>
      <c r="AQ136" s="272"/>
      <c r="AR136" s="272"/>
      <c r="AS136" s="272"/>
      <c r="AT136" s="272"/>
      <c r="AU136" s="272"/>
      <c r="AV136" s="272"/>
      <c r="AW136" s="272"/>
      <c r="AX136" s="272"/>
      <c r="AY136" s="272"/>
      <c r="AZ136" s="272"/>
      <c r="BA136" s="272"/>
      <c r="BB136" s="272"/>
      <c r="BC136" s="272"/>
      <c r="BD136" s="272"/>
      <c r="BE136" s="272"/>
      <c r="BF136" s="272"/>
      <c r="BG136" s="272"/>
      <c r="BH136" s="272"/>
      <c r="BI136" s="272"/>
      <c r="BJ136" s="272"/>
      <c r="BK136" s="272"/>
      <c r="BL136" s="272"/>
      <c r="BM136" s="272"/>
      <c r="BN136" s="272"/>
      <c r="BO136" s="272"/>
      <c r="BP136" s="272"/>
      <c r="BQ136" s="272"/>
      <c r="BR136" s="272"/>
      <c r="BS136" s="272"/>
      <c r="BT136" s="272"/>
      <c r="BU136" s="272"/>
      <c r="BV136" s="272"/>
      <c r="BW136" s="272"/>
    </row>
    <row r="137" spans="1:75" s="183" customFormat="1">
      <c r="A137" s="324"/>
      <c r="D137" s="271"/>
      <c r="E137" s="271"/>
      <c r="F137" s="271"/>
      <c r="G137" s="283"/>
      <c r="H137" s="283"/>
      <c r="I137" s="283"/>
      <c r="J137" s="271"/>
      <c r="K137" s="271"/>
      <c r="L137" s="271"/>
      <c r="M137" s="271"/>
      <c r="N137" s="271"/>
      <c r="O137" s="271"/>
      <c r="P137" s="323"/>
      <c r="Q137" s="271"/>
      <c r="R137" s="271"/>
      <c r="S137" s="271"/>
      <c r="T137" s="271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2"/>
      <c r="AL137" s="272"/>
      <c r="AM137" s="272"/>
      <c r="AN137" s="272"/>
      <c r="AO137" s="272"/>
      <c r="AP137" s="272"/>
      <c r="AQ137" s="272"/>
      <c r="AR137" s="272"/>
      <c r="AS137" s="272"/>
      <c r="AT137" s="272"/>
      <c r="AU137" s="272"/>
      <c r="AV137" s="272"/>
      <c r="AW137" s="272"/>
      <c r="AX137" s="272"/>
      <c r="AY137" s="272"/>
      <c r="AZ137" s="272"/>
      <c r="BA137" s="272"/>
      <c r="BB137" s="272"/>
      <c r="BC137" s="272"/>
      <c r="BD137" s="272"/>
      <c r="BE137" s="272"/>
      <c r="BF137" s="272"/>
      <c r="BG137" s="272"/>
      <c r="BH137" s="272"/>
      <c r="BI137" s="272"/>
      <c r="BJ137" s="272"/>
      <c r="BK137" s="272"/>
      <c r="BL137" s="272"/>
      <c r="BM137" s="272"/>
      <c r="BN137" s="272"/>
      <c r="BO137" s="272"/>
      <c r="BP137" s="272"/>
      <c r="BQ137" s="272"/>
      <c r="BR137" s="272"/>
      <c r="BS137" s="272"/>
      <c r="BT137" s="272"/>
      <c r="BU137" s="272"/>
      <c r="BV137" s="272"/>
      <c r="BW137" s="272"/>
    </row>
    <row r="138" spans="1:75" s="183" customFormat="1">
      <c r="A138" s="324"/>
      <c r="D138" s="271"/>
      <c r="E138" s="271"/>
      <c r="F138" s="271"/>
      <c r="G138" s="283"/>
      <c r="H138" s="283"/>
      <c r="I138" s="283"/>
      <c r="J138" s="271"/>
      <c r="K138" s="271"/>
      <c r="L138" s="271"/>
      <c r="M138" s="271"/>
      <c r="N138" s="271"/>
      <c r="O138" s="271"/>
      <c r="P138" s="323"/>
      <c r="Q138" s="271"/>
      <c r="R138" s="271"/>
      <c r="S138" s="271"/>
      <c r="T138" s="271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272"/>
      <c r="AH138" s="272"/>
      <c r="AI138" s="272"/>
      <c r="AJ138" s="272"/>
      <c r="AK138" s="272"/>
      <c r="AL138" s="272"/>
      <c r="AM138" s="272"/>
      <c r="AN138" s="272"/>
      <c r="AO138" s="272"/>
      <c r="AP138" s="272"/>
      <c r="AQ138" s="272"/>
      <c r="AR138" s="272"/>
      <c r="AS138" s="272"/>
      <c r="AT138" s="272"/>
      <c r="AU138" s="272"/>
      <c r="AV138" s="272"/>
      <c r="AW138" s="272"/>
      <c r="AX138" s="272"/>
      <c r="AY138" s="272"/>
      <c r="AZ138" s="272"/>
      <c r="BA138" s="272"/>
      <c r="BB138" s="272"/>
      <c r="BC138" s="272"/>
      <c r="BD138" s="272"/>
      <c r="BE138" s="272"/>
      <c r="BF138" s="272"/>
      <c r="BG138" s="272"/>
      <c r="BH138" s="272"/>
      <c r="BI138" s="272"/>
      <c r="BJ138" s="272"/>
      <c r="BK138" s="272"/>
      <c r="BL138" s="272"/>
      <c r="BM138" s="272"/>
      <c r="BN138" s="272"/>
      <c r="BO138" s="272"/>
      <c r="BP138" s="272"/>
      <c r="BQ138" s="272"/>
      <c r="BR138" s="272"/>
      <c r="BS138" s="272"/>
      <c r="BT138" s="272"/>
      <c r="BU138" s="272"/>
      <c r="BV138" s="272"/>
      <c r="BW138" s="272"/>
    </row>
    <row r="139" spans="1:75" s="183" customFormat="1">
      <c r="A139" s="324"/>
      <c r="D139" s="271"/>
      <c r="E139" s="271"/>
      <c r="F139" s="271"/>
      <c r="G139" s="283"/>
      <c r="H139" s="283"/>
      <c r="I139" s="283"/>
      <c r="J139" s="271"/>
      <c r="K139" s="271"/>
      <c r="L139" s="271"/>
      <c r="M139" s="271"/>
      <c r="N139" s="271"/>
      <c r="O139" s="271"/>
      <c r="P139" s="323"/>
      <c r="Q139" s="271"/>
      <c r="R139" s="271"/>
      <c r="S139" s="271"/>
      <c r="T139" s="271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  <c r="AE139" s="272"/>
      <c r="AF139" s="272"/>
      <c r="AG139" s="272"/>
      <c r="AH139" s="272"/>
      <c r="AI139" s="272"/>
      <c r="AJ139" s="272"/>
      <c r="AK139" s="272"/>
      <c r="AL139" s="272"/>
      <c r="AM139" s="272"/>
      <c r="AN139" s="272"/>
      <c r="AO139" s="272"/>
      <c r="AP139" s="272"/>
      <c r="AQ139" s="272"/>
      <c r="AR139" s="272"/>
      <c r="AS139" s="272"/>
      <c r="AT139" s="272"/>
      <c r="AU139" s="272"/>
      <c r="AV139" s="272"/>
      <c r="AW139" s="272"/>
      <c r="AX139" s="272"/>
      <c r="AY139" s="272"/>
      <c r="AZ139" s="272"/>
      <c r="BA139" s="272"/>
      <c r="BB139" s="272"/>
      <c r="BC139" s="272"/>
      <c r="BD139" s="272"/>
      <c r="BE139" s="272"/>
      <c r="BF139" s="272"/>
      <c r="BG139" s="272"/>
      <c r="BH139" s="272"/>
      <c r="BI139" s="272"/>
      <c r="BJ139" s="272"/>
      <c r="BK139" s="272"/>
      <c r="BL139" s="272"/>
      <c r="BM139" s="272"/>
      <c r="BN139" s="272"/>
      <c r="BO139" s="272"/>
      <c r="BP139" s="272"/>
      <c r="BQ139" s="272"/>
      <c r="BR139" s="272"/>
      <c r="BS139" s="272"/>
      <c r="BT139" s="272"/>
      <c r="BU139" s="272"/>
      <c r="BV139" s="272"/>
      <c r="BW139" s="272"/>
    </row>
    <row r="140" spans="1:75" s="183" customFormat="1">
      <c r="A140" s="324"/>
      <c r="D140" s="271"/>
      <c r="E140" s="271"/>
      <c r="F140" s="271"/>
      <c r="G140" s="283"/>
      <c r="H140" s="283"/>
      <c r="I140" s="283"/>
      <c r="J140" s="271"/>
      <c r="K140" s="271"/>
      <c r="L140" s="271"/>
      <c r="M140" s="271"/>
      <c r="N140" s="271"/>
      <c r="O140" s="271"/>
      <c r="P140" s="323"/>
      <c r="Q140" s="271"/>
      <c r="R140" s="271"/>
      <c r="S140" s="271"/>
      <c r="T140" s="271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72"/>
      <c r="AF140" s="272"/>
      <c r="AG140" s="272"/>
      <c r="AH140" s="272"/>
      <c r="AI140" s="272"/>
      <c r="AJ140" s="272"/>
      <c r="AK140" s="272"/>
      <c r="AL140" s="272"/>
      <c r="AM140" s="272"/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2"/>
      <c r="AY140" s="272"/>
      <c r="AZ140" s="272"/>
      <c r="BA140" s="272"/>
      <c r="BB140" s="272"/>
      <c r="BC140" s="272"/>
      <c r="BD140" s="272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2"/>
      <c r="BV140" s="272"/>
      <c r="BW140" s="272"/>
    </row>
    <row r="141" spans="1:75" s="183" customFormat="1">
      <c r="A141" s="324"/>
      <c r="D141" s="271"/>
      <c r="E141" s="271"/>
      <c r="F141" s="271"/>
      <c r="G141" s="283"/>
      <c r="H141" s="283"/>
      <c r="I141" s="283"/>
      <c r="J141" s="271"/>
      <c r="K141" s="271"/>
      <c r="L141" s="271"/>
      <c r="M141" s="271"/>
      <c r="N141" s="271"/>
      <c r="O141" s="271"/>
      <c r="P141" s="323"/>
      <c r="Q141" s="271"/>
      <c r="R141" s="271"/>
      <c r="S141" s="271"/>
      <c r="T141" s="271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  <c r="AE141" s="272"/>
      <c r="AF141" s="272"/>
      <c r="AG141" s="272"/>
      <c r="AH141" s="272"/>
      <c r="AI141" s="272"/>
      <c r="AJ141" s="272"/>
      <c r="AK141" s="272"/>
      <c r="AL141" s="272"/>
      <c r="AM141" s="272"/>
      <c r="AN141" s="272"/>
      <c r="AO141" s="272"/>
      <c r="AP141" s="272"/>
      <c r="AQ141" s="272"/>
      <c r="AR141" s="272"/>
      <c r="AS141" s="272"/>
      <c r="AT141" s="272"/>
      <c r="AU141" s="272"/>
      <c r="AV141" s="272"/>
      <c r="AW141" s="272"/>
      <c r="AX141" s="272"/>
      <c r="AY141" s="272"/>
      <c r="AZ141" s="272"/>
      <c r="BA141" s="272"/>
      <c r="BB141" s="272"/>
      <c r="BC141" s="272"/>
      <c r="BD141" s="272"/>
      <c r="BE141" s="272"/>
      <c r="BF141" s="272"/>
      <c r="BG141" s="272"/>
      <c r="BH141" s="272"/>
      <c r="BI141" s="272"/>
      <c r="BJ141" s="272"/>
      <c r="BK141" s="272"/>
      <c r="BL141" s="272"/>
      <c r="BM141" s="272"/>
      <c r="BN141" s="272"/>
      <c r="BO141" s="272"/>
      <c r="BP141" s="272"/>
      <c r="BQ141" s="272"/>
      <c r="BR141" s="272"/>
      <c r="BS141" s="272"/>
      <c r="BT141" s="272"/>
      <c r="BU141" s="272"/>
      <c r="BV141" s="272"/>
      <c r="BW141" s="272"/>
    </row>
    <row r="142" spans="1:75" s="183" customFormat="1">
      <c r="A142" s="324"/>
      <c r="D142" s="271"/>
      <c r="E142" s="271"/>
      <c r="F142" s="271"/>
      <c r="G142" s="283"/>
      <c r="H142" s="283"/>
      <c r="I142" s="283"/>
      <c r="J142" s="271"/>
      <c r="K142" s="271"/>
      <c r="L142" s="271"/>
      <c r="M142" s="271"/>
      <c r="N142" s="271"/>
      <c r="O142" s="271"/>
      <c r="P142" s="323"/>
      <c r="Q142" s="271"/>
      <c r="R142" s="271"/>
      <c r="S142" s="271"/>
      <c r="T142" s="271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2"/>
      <c r="AN142" s="272"/>
      <c r="AO142" s="272"/>
      <c r="AP142" s="272"/>
      <c r="AQ142" s="272"/>
      <c r="AR142" s="272"/>
      <c r="AS142" s="272"/>
      <c r="AT142" s="272"/>
      <c r="AU142" s="272"/>
      <c r="AV142" s="272"/>
      <c r="AW142" s="272"/>
      <c r="AX142" s="272"/>
      <c r="AY142" s="272"/>
      <c r="AZ142" s="272"/>
      <c r="BA142" s="272"/>
      <c r="BB142" s="272"/>
      <c r="BC142" s="272"/>
      <c r="BD142" s="272"/>
      <c r="BE142" s="272"/>
      <c r="BF142" s="272"/>
      <c r="BG142" s="272"/>
      <c r="BH142" s="272"/>
      <c r="BI142" s="272"/>
      <c r="BJ142" s="272"/>
      <c r="BK142" s="272"/>
      <c r="BL142" s="272"/>
      <c r="BM142" s="272"/>
      <c r="BN142" s="272"/>
      <c r="BO142" s="272"/>
      <c r="BP142" s="272"/>
      <c r="BQ142" s="272"/>
      <c r="BR142" s="272"/>
      <c r="BS142" s="272"/>
      <c r="BT142" s="272"/>
      <c r="BU142" s="272"/>
      <c r="BV142" s="272"/>
      <c r="BW142" s="272"/>
    </row>
    <row r="143" spans="1:75" s="183" customFormat="1">
      <c r="A143" s="324"/>
      <c r="D143" s="271"/>
      <c r="E143" s="271"/>
      <c r="F143" s="271"/>
      <c r="G143" s="283"/>
      <c r="H143" s="283"/>
      <c r="I143" s="283"/>
      <c r="J143" s="271"/>
      <c r="K143" s="271"/>
      <c r="L143" s="271"/>
      <c r="M143" s="271"/>
      <c r="N143" s="271"/>
      <c r="O143" s="271"/>
      <c r="P143" s="323"/>
      <c r="Q143" s="271"/>
      <c r="R143" s="271"/>
      <c r="S143" s="271"/>
      <c r="T143" s="271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  <c r="AM143" s="272"/>
      <c r="AN143" s="272"/>
      <c r="AO143" s="272"/>
      <c r="AP143" s="272"/>
      <c r="AQ143" s="272"/>
      <c r="AR143" s="272"/>
      <c r="AS143" s="272"/>
      <c r="AT143" s="272"/>
      <c r="AU143" s="272"/>
      <c r="AV143" s="272"/>
      <c r="AW143" s="272"/>
      <c r="AX143" s="272"/>
      <c r="AY143" s="272"/>
      <c r="AZ143" s="272"/>
      <c r="BA143" s="272"/>
      <c r="BB143" s="272"/>
      <c r="BC143" s="272"/>
      <c r="BD143" s="272"/>
      <c r="BE143" s="272"/>
      <c r="BF143" s="272"/>
      <c r="BG143" s="272"/>
      <c r="BH143" s="272"/>
      <c r="BI143" s="272"/>
      <c r="BJ143" s="272"/>
      <c r="BK143" s="272"/>
      <c r="BL143" s="272"/>
      <c r="BM143" s="272"/>
      <c r="BN143" s="272"/>
      <c r="BO143" s="272"/>
      <c r="BP143" s="272"/>
      <c r="BQ143" s="272"/>
      <c r="BR143" s="272"/>
      <c r="BS143" s="272"/>
      <c r="BT143" s="272"/>
      <c r="BU143" s="272"/>
      <c r="BV143" s="272"/>
      <c r="BW143" s="272"/>
    </row>
    <row r="144" spans="1:75" s="183" customFormat="1">
      <c r="A144" s="324"/>
      <c r="D144" s="271"/>
      <c r="E144" s="271"/>
      <c r="F144" s="271"/>
      <c r="G144" s="283"/>
      <c r="H144" s="283"/>
      <c r="I144" s="283"/>
      <c r="J144" s="271"/>
      <c r="K144" s="271"/>
      <c r="L144" s="271"/>
      <c r="M144" s="271"/>
      <c r="N144" s="271"/>
      <c r="O144" s="271"/>
      <c r="P144" s="323"/>
      <c r="Q144" s="271"/>
      <c r="R144" s="271"/>
      <c r="S144" s="271"/>
      <c r="T144" s="271"/>
      <c r="U144" s="272"/>
      <c r="V144" s="272"/>
      <c r="W144" s="272"/>
      <c r="X144" s="272"/>
      <c r="Y144" s="272"/>
      <c r="Z144" s="272"/>
      <c r="AA144" s="272"/>
      <c r="AB144" s="272"/>
      <c r="AC144" s="272"/>
      <c r="AD144" s="272"/>
      <c r="AE144" s="272"/>
      <c r="AF144" s="272"/>
      <c r="AG144" s="272"/>
      <c r="AH144" s="272"/>
      <c r="AI144" s="272"/>
      <c r="AJ144" s="272"/>
      <c r="AK144" s="272"/>
      <c r="AL144" s="272"/>
      <c r="AM144" s="272"/>
      <c r="AN144" s="272"/>
      <c r="AO144" s="272"/>
      <c r="AP144" s="272"/>
      <c r="AQ144" s="272"/>
      <c r="AR144" s="272"/>
      <c r="AS144" s="272"/>
      <c r="AT144" s="272"/>
      <c r="AU144" s="272"/>
      <c r="AV144" s="272"/>
      <c r="AW144" s="272"/>
      <c r="AX144" s="272"/>
      <c r="AY144" s="272"/>
      <c r="AZ144" s="272"/>
      <c r="BA144" s="272"/>
      <c r="BB144" s="272"/>
      <c r="BC144" s="272"/>
      <c r="BD144" s="272"/>
      <c r="BE144" s="272"/>
      <c r="BF144" s="272"/>
      <c r="BG144" s="272"/>
      <c r="BH144" s="272"/>
      <c r="BI144" s="272"/>
      <c r="BJ144" s="272"/>
      <c r="BK144" s="272"/>
      <c r="BL144" s="272"/>
      <c r="BM144" s="272"/>
      <c r="BN144" s="272"/>
      <c r="BO144" s="272"/>
      <c r="BP144" s="272"/>
      <c r="BQ144" s="272"/>
      <c r="BR144" s="272"/>
      <c r="BS144" s="272"/>
      <c r="BT144" s="272"/>
      <c r="BU144" s="272"/>
      <c r="BV144" s="272"/>
      <c r="BW144" s="272"/>
    </row>
    <row r="145" spans="1:75" s="183" customFormat="1">
      <c r="A145" s="324"/>
      <c r="D145" s="271"/>
      <c r="E145" s="271"/>
      <c r="F145" s="271"/>
      <c r="G145" s="283"/>
      <c r="H145" s="283"/>
      <c r="I145" s="283"/>
      <c r="J145" s="271"/>
      <c r="K145" s="271"/>
      <c r="L145" s="271"/>
      <c r="M145" s="271"/>
      <c r="N145" s="271"/>
      <c r="O145" s="271"/>
      <c r="P145" s="323"/>
      <c r="Q145" s="271"/>
      <c r="R145" s="271"/>
      <c r="S145" s="271"/>
      <c r="T145" s="271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  <c r="AO145" s="272"/>
      <c r="AP145" s="272"/>
      <c r="AQ145" s="272"/>
      <c r="AR145" s="272"/>
      <c r="AS145" s="272"/>
      <c r="AT145" s="272"/>
      <c r="AU145" s="272"/>
      <c r="AV145" s="272"/>
      <c r="AW145" s="272"/>
      <c r="AX145" s="272"/>
      <c r="AY145" s="272"/>
      <c r="AZ145" s="272"/>
      <c r="BA145" s="272"/>
      <c r="BB145" s="272"/>
      <c r="BC145" s="272"/>
      <c r="BD145" s="272"/>
      <c r="BE145" s="272"/>
      <c r="BF145" s="272"/>
      <c r="BG145" s="272"/>
      <c r="BH145" s="272"/>
      <c r="BI145" s="272"/>
      <c r="BJ145" s="272"/>
      <c r="BK145" s="272"/>
      <c r="BL145" s="272"/>
      <c r="BM145" s="272"/>
      <c r="BN145" s="272"/>
      <c r="BO145" s="272"/>
      <c r="BP145" s="272"/>
      <c r="BQ145" s="272"/>
      <c r="BR145" s="272"/>
      <c r="BS145" s="272"/>
      <c r="BT145" s="272"/>
      <c r="BU145" s="272"/>
      <c r="BV145" s="272"/>
      <c r="BW145" s="272"/>
    </row>
    <row r="146" spans="1:75" s="183" customFormat="1">
      <c r="A146" s="324"/>
      <c r="D146" s="271"/>
      <c r="E146" s="271"/>
      <c r="F146" s="271"/>
      <c r="G146" s="283"/>
      <c r="H146" s="283"/>
      <c r="I146" s="283"/>
      <c r="J146" s="271"/>
      <c r="K146" s="271"/>
      <c r="L146" s="271"/>
      <c r="M146" s="271"/>
      <c r="N146" s="271"/>
      <c r="O146" s="271"/>
      <c r="P146" s="323"/>
      <c r="Q146" s="271"/>
      <c r="R146" s="271"/>
      <c r="S146" s="271"/>
      <c r="T146" s="271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  <c r="AP146" s="272"/>
      <c r="AQ146" s="272"/>
      <c r="AR146" s="272"/>
      <c r="AS146" s="272"/>
      <c r="AT146" s="272"/>
      <c r="AU146" s="272"/>
      <c r="AV146" s="272"/>
      <c r="AW146" s="272"/>
      <c r="AX146" s="272"/>
      <c r="AY146" s="272"/>
      <c r="AZ146" s="272"/>
      <c r="BA146" s="272"/>
      <c r="BB146" s="272"/>
      <c r="BC146" s="272"/>
      <c r="BD146" s="272"/>
      <c r="BE146" s="272"/>
      <c r="BF146" s="272"/>
      <c r="BG146" s="272"/>
      <c r="BH146" s="272"/>
      <c r="BI146" s="272"/>
      <c r="BJ146" s="272"/>
      <c r="BK146" s="272"/>
      <c r="BL146" s="272"/>
      <c r="BM146" s="272"/>
      <c r="BN146" s="272"/>
      <c r="BO146" s="272"/>
      <c r="BP146" s="272"/>
      <c r="BQ146" s="272"/>
      <c r="BR146" s="272"/>
      <c r="BS146" s="272"/>
      <c r="BT146" s="272"/>
      <c r="BU146" s="272"/>
      <c r="BV146" s="272"/>
      <c r="BW146" s="272"/>
    </row>
    <row r="147" spans="1:75" s="183" customFormat="1">
      <c r="A147" s="324"/>
      <c r="D147" s="271"/>
      <c r="E147" s="271"/>
      <c r="F147" s="271"/>
      <c r="G147" s="283"/>
      <c r="H147" s="283"/>
      <c r="I147" s="283"/>
      <c r="J147" s="271"/>
      <c r="K147" s="271"/>
      <c r="L147" s="271"/>
      <c r="M147" s="271"/>
      <c r="N147" s="271"/>
      <c r="O147" s="271"/>
      <c r="P147" s="323"/>
      <c r="Q147" s="271"/>
      <c r="R147" s="271"/>
      <c r="S147" s="271"/>
      <c r="T147" s="271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  <c r="AP147" s="272"/>
      <c r="AQ147" s="272"/>
      <c r="AR147" s="272"/>
      <c r="AS147" s="272"/>
      <c r="AT147" s="272"/>
      <c r="AU147" s="272"/>
      <c r="AV147" s="272"/>
      <c r="AW147" s="272"/>
      <c r="AX147" s="272"/>
      <c r="AY147" s="272"/>
      <c r="AZ147" s="272"/>
      <c r="BA147" s="272"/>
      <c r="BB147" s="272"/>
      <c r="BC147" s="272"/>
      <c r="BD147" s="272"/>
      <c r="BE147" s="272"/>
      <c r="BF147" s="272"/>
      <c r="BG147" s="272"/>
      <c r="BH147" s="272"/>
      <c r="BI147" s="272"/>
      <c r="BJ147" s="272"/>
      <c r="BK147" s="272"/>
      <c r="BL147" s="272"/>
      <c r="BM147" s="272"/>
      <c r="BN147" s="272"/>
      <c r="BO147" s="272"/>
      <c r="BP147" s="272"/>
      <c r="BQ147" s="272"/>
      <c r="BR147" s="272"/>
      <c r="BS147" s="272"/>
      <c r="BT147" s="272"/>
      <c r="BU147" s="272"/>
      <c r="BV147" s="272"/>
      <c r="BW147" s="272"/>
    </row>
    <row r="148" spans="1:75" s="183" customFormat="1">
      <c r="A148" s="324"/>
      <c r="D148" s="271"/>
      <c r="E148" s="271"/>
      <c r="F148" s="271"/>
      <c r="G148" s="283"/>
      <c r="H148" s="283"/>
      <c r="I148" s="283"/>
      <c r="J148" s="271"/>
      <c r="K148" s="271"/>
      <c r="L148" s="271"/>
      <c r="M148" s="271"/>
      <c r="N148" s="271"/>
      <c r="O148" s="271"/>
      <c r="P148" s="323"/>
      <c r="Q148" s="271"/>
      <c r="R148" s="271"/>
      <c r="S148" s="271"/>
      <c r="T148" s="271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  <c r="AP148" s="272"/>
      <c r="AQ148" s="272"/>
      <c r="AR148" s="272"/>
      <c r="AS148" s="272"/>
      <c r="AT148" s="272"/>
      <c r="AU148" s="272"/>
      <c r="AV148" s="272"/>
      <c r="AW148" s="272"/>
      <c r="AX148" s="272"/>
      <c r="AY148" s="272"/>
      <c r="AZ148" s="272"/>
      <c r="BA148" s="272"/>
      <c r="BB148" s="272"/>
      <c r="BC148" s="272"/>
      <c r="BD148" s="272"/>
      <c r="BE148" s="272"/>
      <c r="BF148" s="272"/>
      <c r="BG148" s="272"/>
      <c r="BH148" s="272"/>
      <c r="BI148" s="272"/>
      <c r="BJ148" s="272"/>
      <c r="BK148" s="272"/>
      <c r="BL148" s="272"/>
      <c r="BM148" s="272"/>
      <c r="BN148" s="272"/>
      <c r="BO148" s="272"/>
      <c r="BP148" s="272"/>
      <c r="BQ148" s="272"/>
      <c r="BR148" s="272"/>
      <c r="BS148" s="272"/>
      <c r="BT148" s="272"/>
      <c r="BU148" s="272"/>
      <c r="BV148" s="272"/>
      <c r="BW148" s="272"/>
    </row>
    <row r="149" spans="1:75" s="183" customFormat="1">
      <c r="A149" s="324"/>
      <c r="D149" s="271"/>
      <c r="E149" s="271"/>
      <c r="F149" s="271"/>
      <c r="G149" s="283"/>
      <c r="H149" s="283"/>
      <c r="I149" s="283"/>
      <c r="J149" s="271"/>
      <c r="K149" s="271"/>
      <c r="L149" s="271"/>
      <c r="M149" s="271"/>
      <c r="N149" s="271"/>
      <c r="O149" s="271"/>
      <c r="P149" s="323"/>
      <c r="Q149" s="271"/>
      <c r="R149" s="271"/>
      <c r="S149" s="271"/>
      <c r="T149" s="271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  <c r="AP149" s="272"/>
      <c r="AQ149" s="272"/>
      <c r="AR149" s="272"/>
      <c r="AS149" s="272"/>
      <c r="AT149" s="272"/>
      <c r="AU149" s="272"/>
      <c r="AV149" s="272"/>
      <c r="AW149" s="272"/>
      <c r="AX149" s="272"/>
      <c r="AY149" s="272"/>
      <c r="AZ149" s="272"/>
      <c r="BA149" s="272"/>
      <c r="BB149" s="272"/>
      <c r="BC149" s="272"/>
      <c r="BD149" s="272"/>
      <c r="BE149" s="272"/>
      <c r="BF149" s="272"/>
      <c r="BG149" s="272"/>
      <c r="BH149" s="272"/>
      <c r="BI149" s="272"/>
      <c r="BJ149" s="272"/>
      <c r="BK149" s="272"/>
      <c r="BL149" s="272"/>
      <c r="BM149" s="272"/>
      <c r="BN149" s="272"/>
      <c r="BO149" s="272"/>
      <c r="BP149" s="272"/>
      <c r="BQ149" s="272"/>
      <c r="BR149" s="272"/>
      <c r="BS149" s="272"/>
      <c r="BT149" s="272"/>
      <c r="BU149" s="272"/>
      <c r="BV149" s="272"/>
      <c r="BW149" s="272"/>
    </row>
    <row r="150" spans="1:75" s="183" customFormat="1">
      <c r="A150" s="324"/>
      <c r="D150" s="271"/>
      <c r="E150" s="271"/>
      <c r="F150" s="271"/>
      <c r="G150" s="283"/>
      <c r="H150" s="283"/>
      <c r="I150" s="283"/>
      <c r="J150" s="271"/>
      <c r="K150" s="271"/>
      <c r="L150" s="271"/>
      <c r="M150" s="271"/>
      <c r="N150" s="271"/>
      <c r="O150" s="271"/>
      <c r="P150" s="323"/>
      <c r="Q150" s="271"/>
      <c r="R150" s="271"/>
      <c r="S150" s="271"/>
      <c r="T150" s="271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  <c r="AP150" s="272"/>
      <c r="AQ150" s="272"/>
      <c r="AR150" s="272"/>
      <c r="AS150" s="272"/>
      <c r="AT150" s="272"/>
      <c r="AU150" s="272"/>
      <c r="AV150" s="272"/>
      <c r="AW150" s="272"/>
      <c r="AX150" s="272"/>
      <c r="AY150" s="272"/>
      <c r="AZ150" s="272"/>
      <c r="BA150" s="272"/>
      <c r="BB150" s="272"/>
      <c r="BC150" s="272"/>
      <c r="BD150" s="272"/>
      <c r="BE150" s="272"/>
      <c r="BF150" s="272"/>
      <c r="BG150" s="272"/>
      <c r="BH150" s="272"/>
      <c r="BI150" s="272"/>
      <c r="BJ150" s="272"/>
      <c r="BK150" s="272"/>
      <c r="BL150" s="272"/>
      <c r="BM150" s="272"/>
      <c r="BN150" s="272"/>
      <c r="BO150" s="272"/>
      <c r="BP150" s="272"/>
      <c r="BQ150" s="272"/>
      <c r="BR150" s="272"/>
      <c r="BS150" s="272"/>
      <c r="BT150" s="272"/>
      <c r="BU150" s="272"/>
      <c r="BV150" s="272"/>
      <c r="BW150" s="272"/>
    </row>
    <row r="151" spans="1:75" s="183" customFormat="1">
      <c r="A151" s="324"/>
      <c r="D151" s="271"/>
      <c r="E151" s="271"/>
      <c r="F151" s="271"/>
      <c r="G151" s="283"/>
      <c r="H151" s="283"/>
      <c r="I151" s="283"/>
      <c r="J151" s="271"/>
      <c r="K151" s="271"/>
      <c r="L151" s="271"/>
      <c r="M151" s="271"/>
      <c r="N151" s="271"/>
      <c r="O151" s="271"/>
      <c r="P151" s="323"/>
      <c r="Q151" s="271"/>
      <c r="R151" s="271"/>
      <c r="S151" s="271"/>
      <c r="T151" s="271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  <c r="AE151" s="272"/>
      <c r="AF151" s="272"/>
      <c r="AG151" s="272"/>
      <c r="AH151" s="272"/>
      <c r="AI151" s="272"/>
      <c r="AJ151" s="272"/>
      <c r="AK151" s="272"/>
      <c r="AL151" s="272"/>
      <c r="AM151" s="272"/>
      <c r="AN151" s="272"/>
      <c r="AO151" s="272"/>
      <c r="AP151" s="272"/>
      <c r="AQ151" s="272"/>
      <c r="AR151" s="272"/>
      <c r="AS151" s="272"/>
      <c r="AT151" s="272"/>
      <c r="AU151" s="272"/>
      <c r="AV151" s="272"/>
      <c r="AW151" s="272"/>
      <c r="AX151" s="272"/>
      <c r="AY151" s="272"/>
      <c r="AZ151" s="272"/>
      <c r="BA151" s="272"/>
      <c r="BB151" s="272"/>
      <c r="BC151" s="272"/>
      <c r="BD151" s="272"/>
      <c r="BE151" s="272"/>
      <c r="BF151" s="272"/>
      <c r="BG151" s="272"/>
      <c r="BH151" s="272"/>
      <c r="BI151" s="272"/>
      <c r="BJ151" s="272"/>
      <c r="BK151" s="272"/>
      <c r="BL151" s="272"/>
      <c r="BM151" s="272"/>
      <c r="BN151" s="272"/>
      <c r="BO151" s="272"/>
      <c r="BP151" s="272"/>
      <c r="BQ151" s="272"/>
      <c r="BR151" s="272"/>
      <c r="BS151" s="272"/>
      <c r="BT151" s="272"/>
      <c r="BU151" s="272"/>
      <c r="BV151" s="272"/>
      <c r="BW151" s="272"/>
    </row>
    <row r="152" spans="1:75" s="183" customFormat="1">
      <c r="A152" s="324"/>
      <c r="D152" s="271"/>
      <c r="E152" s="271"/>
      <c r="F152" s="271"/>
      <c r="G152" s="283"/>
      <c r="H152" s="283"/>
      <c r="I152" s="283"/>
      <c r="J152" s="271"/>
      <c r="K152" s="271"/>
      <c r="L152" s="271"/>
      <c r="M152" s="271"/>
      <c r="N152" s="271"/>
      <c r="O152" s="271"/>
      <c r="P152" s="323"/>
      <c r="Q152" s="271"/>
      <c r="R152" s="271"/>
      <c r="S152" s="271"/>
      <c r="T152" s="271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  <c r="AE152" s="272"/>
      <c r="AF152" s="272"/>
      <c r="AG152" s="272"/>
      <c r="AH152" s="272"/>
      <c r="AI152" s="272"/>
      <c r="AJ152" s="272"/>
      <c r="AK152" s="272"/>
      <c r="AL152" s="272"/>
      <c r="AM152" s="272"/>
      <c r="AN152" s="272"/>
      <c r="AO152" s="272"/>
      <c r="AP152" s="272"/>
      <c r="AQ152" s="272"/>
      <c r="AR152" s="272"/>
      <c r="AS152" s="272"/>
      <c r="AT152" s="272"/>
      <c r="AU152" s="272"/>
      <c r="AV152" s="272"/>
      <c r="AW152" s="272"/>
      <c r="AX152" s="272"/>
      <c r="AY152" s="272"/>
      <c r="AZ152" s="272"/>
      <c r="BA152" s="272"/>
      <c r="BB152" s="272"/>
      <c r="BC152" s="272"/>
      <c r="BD152" s="272"/>
      <c r="BE152" s="272"/>
      <c r="BF152" s="272"/>
      <c r="BG152" s="272"/>
      <c r="BH152" s="272"/>
      <c r="BI152" s="272"/>
      <c r="BJ152" s="272"/>
      <c r="BK152" s="272"/>
      <c r="BL152" s="272"/>
      <c r="BM152" s="272"/>
      <c r="BN152" s="272"/>
      <c r="BO152" s="272"/>
      <c r="BP152" s="272"/>
      <c r="BQ152" s="272"/>
      <c r="BR152" s="272"/>
      <c r="BS152" s="272"/>
      <c r="BT152" s="272"/>
      <c r="BU152" s="272"/>
      <c r="BV152" s="272"/>
      <c r="BW152" s="272"/>
    </row>
    <row r="153" spans="1:75" s="183" customFormat="1">
      <c r="A153" s="324"/>
      <c r="D153" s="271"/>
      <c r="E153" s="271"/>
      <c r="F153" s="271"/>
      <c r="G153" s="283"/>
      <c r="H153" s="283"/>
      <c r="I153" s="283"/>
      <c r="J153" s="271"/>
      <c r="K153" s="271"/>
      <c r="L153" s="271"/>
      <c r="M153" s="271"/>
      <c r="N153" s="271"/>
      <c r="O153" s="271"/>
      <c r="P153" s="323"/>
      <c r="Q153" s="271"/>
      <c r="R153" s="271"/>
      <c r="S153" s="271"/>
      <c r="T153" s="271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  <c r="AM153" s="272"/>
      <c r="AN153" s="272"/>
      <c r="AO153" s="272"/>
      <c r="AP153" s="272"/>
      <c r="AQ153" s="272"/>
      <c r="AR153" s="272"/>
      <c r="AS153" s="272"/>
      <c r="AT153" s="272"/>
      <c r="AU153" s="272"/>
      <c r="AV153" s="272"/>
      <c r="AW153" s="272"/>
      <c r="AX153" s="272"/>
      <c r="AY153" s="272"/>
      <c r="AZ153" s="272"/>
      <c r="BA153" s="272"/>
      <c r="BB153" s="272"/>
      <c r="BC153" s="272"/>
      <c r="BD153" s="272"/>
      <c r="BE153" s="272"/>
      <c r="BF153" s="272"/>
      <c r="BG153" s="272"/>
      <c r="BH153" s="272"/>
      <c r="BI153" s="272"/>
      <c r="BJ153" s="272"/>
      <c r="BK153" s="272"/>
      <c r="BL153" s="272"/>
      <c r="BM153" s="272"/>
      <c r="BN153" s="272"/>
      <c r="BO153" s="272"/>
      <c r="BP153" s="272"/>
      <c r="BQ153" s="272"/>
      <c r="BR153" s="272"/>
      <c r="BS153" s="272"/>
      <c r="BT153" s="272"/>
      <c r="BU153" s="272"/>
      <c r="BV153" s="272"/>
      <c r="BW153" s="272"/>
    </row>
    <row r="154" spans="1:75" s="183" customFormat="1">
      <c r="A154" s="324"/>
      <c r="D154" s="271"/>
      <c r="E154" s="271"/>
      <c r="F154" s="271"/>
      <c r="G154" s="283"/>
      <c r="H154" s="283"/>
      <c r="I154" s="283"/>
      <c r="J154" s="271"/>
      <c r="K154" s="271"/>
      <c r="L154" s="271"/>
      <c r="M154" s="271"/>
      <c r="N154" s="271"/>
      <c r="O154" s="271"/>
      <c r="P154" s="323"/>
      <c r="Q154" s="271"/>
      <c r="R154" s="271"/>
      <c r="S154" s="271"/>
      <c r="T154" s="271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  <c r="AM154" s="272"/>
      <c r="AN154" s="272"/>
      <c r="AO154" s="272"/>
      <c r="AP154" s="272"/>
      <c r="AQ154" s="272"/>
      <c r="AR154" s="272"/>
      <c r="AS154" s="272"/>
      <c r="AT154" s="272"/>
      <c r="AU154" s="272"/>
      <c r="AV154" s="272"/>
      <c r="AW154" s="272"/>
      <c r="AX154" s="272"/>
      <c r="AY154" s="272"/>
      <c r="AZ154" s="272"/>
      <c r="BA154" s="272"/>
      <c r="BB154" s="272"/>
      <c r="BC154" s="272"/>
      <c r="BD154" s="272"/>
      <c r="BE154" s="272"/>
      <c r="BF154" s="272"/>
      <c r="BG154" s="272"/>
      <c r="BH154" s="272"/>
      <c r="BI154" s="272"/>
      <c r="BJ154" s="272"/>
      <c r="BK154" s="272"/>
      <c r="BL154" s="272"/>
      <c r="BM154" s="272"/>
      <c r="BN154" s="272"/>
      <c r="BO154" s="272"/>
      <c r="BP154" s="272"/>
      <c r="BQ154" s="272"/>
      <c r="BR154" s="272"/>
      <c r="BS154" s="272"/>
      <c r="BT154" s="272"/>
      <c r="BU154" s="272"/>
      <c r="BV154" s="272"/>
      <c r="BW154" s="272"/>
    </row>
    <row r="155" spans="1:75" s="183" customFormat="1">
      <c r="A155" s="324"/>
      <c r="D155" s="271"/>
      <c r="E155" s="271"/>
      <c r="F155" s="271"/>
      <c r="G155" s="283"/>
      <c r="H155" s="283"/>
      <c r="I155" s="283"/>
      <c r="J155" s="271"/>
      <c r="K155" s="271"/>
      <c r="L155" s="271"/>
      <c r="M155" s="271"/>
      <c r="N155" s="271"/>
      <c r="O155" s="271"/>
      <c r="P155" s="323"/>
      <c r="Q155" s="271"/>
      <c r="R155" s="271"/>
      <c r="S155" s="271"/>
      <c r="T155" s="271"/>
      <c r="U155" s="272"/>
      <c r="V155" s="272"/>
      <c r="W155" s="272"/>
      <c r="X155" s="272"/>
      <c r="Y155" s="272"/>
      <c r="Z155" s="272"/>
      <c r="AA155" s="272"/>
      <c r="AB155" s="272"/>
      <c r="AC155" s="272"/>
      <c r="AD155" s="272"/>
      <c r="AE155" s="272"/>
      <c r="AF155" s="272"/>
      <c r="AG155" s="272"/>
      <c r="AH155" s="272"/>
      <c r="AI155" s="272"/>
      <c r="AJ155" s="272"/>
      <c r="AK155" s="272"/>
      <c r="AL155" s="272"/>
      <c r="AM155" s="272"/>
      <c r="AN155" s="272"/>
      <c r="AO155" s="272"/>
      <c r="AP155" s="272"/>
      <c r="AQ155" s="272"/>
      <c r="AR155" s="272"/>
      <c r="AS155" s="272"/>
      <c r="AT155" s="272"/>
      <c r="AU155" s="272"/>
      <c r="AV155" s="272"/>
      <c r="AW155" s="272"/>
      <c r="AX155" s="272"/>
      <c r="AY155" s="272"/>
      <c r="AZ155" s="272"/>
      <c r="BA155" s="272"/>
      <c r="BB155" s="272"/>
      <c r="BC155" s="272"/>
      <c r="BD155" s="272"/>
      <c r="BE155" s="272"/>
      <c r="BF155" s="272"/>
      <c r="BG155" s="272"/>
      <c r="BH155" s="272"/>
      <c r="BI155" s="272"/>
      <c r="BJ155" s="272"/>
      <c r="BK155" s="272"/>
      <c r="BL155" s="272"/>
      <c r="BM155" s="272"/>
      <c r="BN155" s="272"/>
      <c r="BO155" s="272"/>
      <c r="BP155" s="272"/>
      <c r="BQ155" s="272"/>
      <c r="BR155" s="272"/>
      <c r="BS155" s="272"/>
      <c r="BT155" s="272"/>
      <c r="BU155" s="272"/>
      <c r="BV155" s="272"/>
      <c r="BW155" s="272"/>
    </row>
    <row r="156" spans="1:75" s="183" customFormat="1">
      <c r="A156" s="324"/>
      <c r="D156" s="271"/>
      <c r="E156" s="271"/>
      <c r="F156" s="271"/>
      <c r="G156" s="283"/>
      <c r="H156" s="283"/>
      <c r="I156" s="283"/>
      <c r="J156" s="271"/>
      <c r="K156" s="271"/>
      <c r="L156" s="271"/>
      <c r="M156" s="271"/>
      <c r="N156" s="271"/>
      <c r="O156" s="271"/>
      <c r="P156" s="323"/>
      <c r="Q156" s="271"/>
      <c r="R156" s="271"/>
      <c r="S156" s="271"/>
      <c r="T156" s="271"/>
      <c r="U156" s="272"/>
      <c r="V156" s="272"/>
      <c r="W156" s="272"/>
      <c r="X156" s="272"/>
      <c r="Y156" s="272"/>
      <c r="Z156" s="272"/>
      <c r="AA156" s="272"/>
      <c r="AB156" s="272"/>
      <c r="AC156" s="272"/>
      <c r="AD156" s="272"/>
      <c r="AE156" s="272"/>
      <c r="AF156" s="272"/>
      <c r="AG156" s="272"/>
      <c r="AH156" s="272"/>
      <c r="AI156" s="272"/>
      <c r="AJ156" s="272"/>
      <c r="AK156" s="272"/>
      <c r="AL156" s="272"/>
      <c r="AM156" s="272"/>
      <c r="AN156" s="272"/>
      <c r="AO156" s="272"/>
      <c r="AP156" s="272"/>
      <c r="AQ156" s="272"/>
      <c r="AR156" s="272"/>
      <c r="AS156" s="272"/>
      <c r="AT156" s="272"/>
      <c r="AU156" s="272"/>
      <c r="AV156" s="272"/>
      <c r="AW156" s="272"/>
      <c r="AX156" s="272"/>
      <c r="AY156" s="272"/>
      <c r="AZ156" s="272"/>
      <c r="BA156" s="272"/>
      <c r="BB156" s="272"/>
      <c r="BC156" s="272"/>
      <c r="BD156" s="272"/>
      <c r="BE156" s="272"/>
      <c r="BF156" s="272"/>
      <c r="BG156" s="272"/>
      <c r="BH156" s="272"/>
      <c r="BI156" s="272"/>
      <c r="BJ156" s="272"/>
      <c r="BK156" s="272"/>
      <c r="BL156" s="272"/>
      <c r="BM156" s="272"/>
      <c r="BN156" s="272"/>
      <c r="BO156" s="272"/>
      <c r="BP156" s="272"/>
      <c r="BQ156" s="272"/>
      <c r="BR156" s="272"/>
      <c r="BS156" s="272"/>
      <c r="BT156" s="272"/>
      <c r="BU156" s="272"/>
      <c r="BV156" s="272"/>
      <c r="BW156" s="272"/>
    </row>
    <row r="157" spans="1:75" s="183" customFormat="1">
      <c r="A157" s="324"/>
      <c r="D157" s="271"/>
      <c r="E157" s="271"/>
      <c r="F157" s="271"/>
      <c r="G157" s="283"/>
      <c r="H157" s="283"/>
      <c r="I157" s="283"/>
      <c r="J157" s="271"/>
      <c r="K157" s="271"/>
      <c r="L157" s="271"/>
      <c r="M157" s="271"/>
      <c r="N157" s="271"/>
      <c r="O157" s="271"/>
      <c r="P157" s="323"/>
      <c r="Q157" s="271"/>
      <c r="R157" s="271"/>
      <c r="S157" s="271"/>
      <c r="T157" s="271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272"/>
      <c r="AP157" s="272"/>
      <c r="AQ157" s="272"/>
      <c r="AR157" s="272"/>
      <c r="AS157" s="272"/>
      <c r="AT157" s="272"/>
      <c r="AU157" s="272"/>
      <c r="AV157" s="272"/>
      <c r="AW157" s="272"/>
      <c r="AX157" s="272"/>
      <c r="AY157" s="272"/>
      <c r="AZ157" s="272"/>
      <c r="BA157" s="272"/>
      <c r="BB157" s="272"/>
      <c r="BC157" s="272"/>
      <c r="BD157" s="272"/>
      <c r="BE157" s="272"/>
      <c r="BF157" s="272"/>
      <c r="BG157" s="272"/>
      <c r="BH157" s="272"/>
      <c r="BI157" s="272"/>
      <c r="BJ157" s="272"/>
      <c r="BK157" s="272"/>
      <c r="BL157" s="272"/>
      <c r="BM157" s="272"/>
      <c r="BN157" s="272"/>
      <c r="BO157" s="272"/>
      <c r="BP157" s="272"/>
      <c r="BQ157" s="272"/>
      <c r="BR157" s="272"/>
      <c r="BS157" s="272"/>
      <c r="BT157" s="272"/>
      <c r="BU157" s="272"/>
      <c r="BV157" s="272"/>
      <c r="BW157" s="272"/>
    </row>
    <row r="158" spans="1:75" s="183" customFormat="1">
      <c r="A158" s="324"/>
      <c r="D158" s="271"/>
      <c r="E158" s="271"/>
      <c r="F158" s="271"/>
      <c r="G158" s="283"/>
      <c r="H158" s="283"/>
      <c r="I158" s="283"/>
      <c r="J158" s="271"/>
      <c r="K158" s="271"/>
      <c r="L158" s="271"/>
      <c r="M158" s="271"/>
      <c r="N158" s="271"/>
      <c r="O158" s="271"/>
      <c r="P158" s="323"/>
      <c r="Q158" s="271"/>
      <c r="R158" s="271"/>
      <c r="S158" s="271"/>
      <c r="T158" s="271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272"/>
      <c r="AP158" s="272"/>
      <c r="AQ158" s="272"/>
      <c r="AR158" s="272"/>
      <c r="AS158" s="272"/>
      <c r="AT158" s="272"/>
      <c r="AU158" s="272"/>
      <c r="AV158" s="272"/>
      <c r="AW158" s="272"/>
      <c r="AX158" s="272"/>
      <c r="AY158" s="272"/>
      <c r="AZ158" s="272"/>
      <c r="BA158" s="272"/>
      <c r="BB158" s="272"/>
      <c r="BC158" s="272"/>
      <c r="BD158" s="272"/>
      <c r="BE158" s="272"/>
      <c r="BF158" s="272"/>
      <c r="BG158" s="272"/>
      <c r="BH158" s="272"/>
      <c r="BI158" s="272"/>
      <c r="BJ158" s="272"/>
      <c r="BK158" s="272"/>
      <c r="BL158" s="272"/>
      <c r="BM158" s="272"/>
      <c r="BN158" s="272"/>
      <c r="BO158" s="272"/>
      <c r="BP158" s="272"/>
      <c r="BQ158" s="272"/>
      <c r="BR158" s="272"/>
      <c r="BS158" s="272"/>
      <c r="BT158" s="272"/>
      <c r="BU158" s="272"/>
      <c r="BV158" s="272"/>
      <c r="BW158" s="272"/>
    </row>
    <row r="159" spans="1:75" s="183" customFormat="1">
      <c r="A159" s="324"/>
      <c r="D159" s="271"/>
      <c r="E159" s="271"/>
      <c r="F159" s="271"/>
      <c r="G159" s="283"/>
      <c r="H159" s="283"/>
      <c r="I159" s="283"/>
      <c r="J159" s="271"/>
      <c r="K159" s="271"/>
      <c r="L159" s="271"/>
      <c r="M159" s="271"/>
      <c r="N159" s="271"/>
      <c r="O159" s="271"/>
      <c r="P159" s="323"/>
      <c r="Q159" s="271"/>
      <c r="R159" s="271"/>
      <c r="S159" s="271"/>
      <c r="T159" s="271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  <c r="AM159" s="272"/>
      <c r="AN159" s="272"/>
      <c r="AO159" s="272"/>
      <c r="AP159" s="272"/>
      <c r="AQ159" s="272"/>
      <c r="AR159" s="272"/>
      <c r="AS159" s="272"/>
      <c r="AT159" s="272"/>
      <c r="AU159" s="272"/>
      <c r="AV159" s="272"/>
      <c r="AW159" s="272"/>
      <c r="AX159" s="272"/>
      <c r="AY159" s="272"/>
      <c r="AZ159" s="272"/>
      <c r="BA159" s="272"/>
      <c r="BB159" s="272"/>
      <c r="BC159" s="272"/>
      <c r="BD159" s="272"/>
      <c r="BE159" s="272"/>
      <c r="BF159" s="272"/>
      <c r="BG159" s="272"/>
      <c r="BH159" s="272"/>
      <c r="BI159" s="272"/>
      <c r="BJ159" s="272"/>
      <c r="BK159" s="272"/>
      <c r="BL159" s="272"/>
      <c r="BM159" s="272"/>
      <c r="BN159" s="272"/>
      <c r="BO159" s="272"/>
      <c r="BP159" s="272"/>
      <c r="BQ159" s="272"/>
      <c r="BR159" s="272"/>
      <c r="BS159" s="272"/>
      <c r="BT159" s="272"/>
      <c r="BU159" s="272"/>
      <c r="BV159" s="272"/>
      <c r="BW159" s="272"/>
    </row>
    <row r="160" spans="1:75" s="183" customFormat="1">
      <c r="A160" s="324"/>
      <c r="D160" s="271"/>
      <c r="E160" s="271"/>
      <c r="F160" s="271"/>
      <c r="G160" s="283"/>
      <c r="H160" s="283"/>
      <c r="I160" s="283"/>
      <c r="J160" s="271"/>
      <c r="K160" s="271"/>
      <c r="L160" s="271"/>
      <c r="M160" s="271"/>
      <c r="N160" s="271"/>
      <c r="O160" s="271"/>
      <c r="P160" s="323"/>
      <c r="Q160" s="271"/>
      <c r="R160" s="271"/>
      <c r="S160" s="271"/>
      <c r="T160" s="271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  <c r="AM160" s="272"/>
      <c r="AN160" s="272"/>
      <c r="AO160" s="272"/>
      <c r="AP160" s="272"/>
      <c r="AQ160" s="272"/>
      <c r="AR160" s="272"/>
      <c r="AS160" s="272"/>
      <c r="AT160" s="272"/>
      <c r="AU160" s="272"/>
      <c r="AV160" s="272"/>
      <c r="AW160" s="272"/>
      <c r="AX160" s="272"/>
      <c r="AY160" s="272"/>
      <c r="AZ160" s="272"/>
      <c r="BA160" s="272"/>
      <c r="BB160" s="272"/>
      <c r="BC160" s="272"/>
      <c r="BD160" s="272"/>
      <c r="BE160" s="272"/>
      <c r="BF160" s="272"/>
      <c r="BG160" s="272"/>
      <c r="BH160" s="272"/>
      <c r="BI160" s="272"/>
      <c r="BJ160" s="272"/>
      <c r="BK160" s="272"/>
      <c r="BL160" s="272"/>
      <c r="BM160" s="272"/>
      <c r="BN160" s="272"/>
      <c r="BO160" s="272"/>
      <c r="BP160" s="272"/>
      <c r="BQ160" s="272"/>
      <c r="BR160" s="272"/>
      <c r="BS160" s="272"/>
      <c r="BT160" s="272"/>
      <c r="BU160" s="272"/>
      <c r="BV160" s="272"/>
      <c r="BW160" s="272"/>
    </row>
    <row r="161" spans="1:75" s="183" customFormat="1">
      <c r="A161" s="324"/>
      <c r="D161" s="271"/>
      <c r="E161" s="271"/>
      <c r="F161" s="271"/>
      <c r="G161" s="283"/>
      <c r="H161" s="283"/>
      <c r="I161" s="283"/>
      <c r="J161" s="271"/>
      <c r="K161" s="271"/>
      <c r="L161" s="271"/>
      <c r="M161" s="271"/>
      <c r="N161" s="271"/>
      <c r="O161" s="271"/>
      <c r="P161" s="323"/>
      <c r="Q161" s="271"/>
      <c r="R161" s="271"/>
      <c r="S161" s="271"/>
      <c r="T161" s="271"/>
      <c r="U161" s="272"/>
      <c r="V161" s="272"/>
      <c r="W161" s="272"/>
      <c r="X161" s="272"/>
      <c r="Y161" s="272"/>
      <c r="Z161" s="272"/>
      <c r="AA161" s="272"/>
      <c r="AB161" s="272"/>
      <c r="AC161" s="272"/>
      <c r="AD161" s="272"/>
      <c r="AE161" s="272"/>
      <c r="AF161" s="272"/>
      <c r="AG161" s="272"/>
      <c r="AH161" s="272"/>
      <c r="AI161" s="272"/>
      <c r="AJ161" s="272"/>
      <c r="AK161" s="272"/>
      <c r="AL161" s="272"/>
      <c r="AM161" s="272"/>
      <c r="AN161" s="272"/>
      <c r="AO161" s="272"/>
      <c r="AP161" s="272"/>
      <c r="AQ161" s="272"/>
      <c r="AR161" s="272"/>
      <c r="AS161" s="272"/>
      <c r="AT161" s="272"/>
      <c r="AU161" s="272"/>
      <c r="AV161" s="272"/>
      <c r="AW161" s="272"/>
      <c r="AX161" s="272"/>
      <c r="AY161" s="272"/>
      <c r="AZ161" s="272"/>
      <c r="BA161" s="272"/>
      <c r="BB161" s="272"/>
      <c r="BC161" s="272"/>
      <c r="BD161" s="272"/>
      <c r="BE161" s="272"/>
      <c r="BF161" s="272"/>
      <c r="BG161" s="272"/>
      <c r="BH161" s="272"/>
      <c r="BI161" s="272"/>
      <c r="BJ161" s="272"/>
      <c r="BK161" s="272"/>
      <c r="BL161" s="272"/>
      <c r="BM161" s="272"/>
      <c r="BN161" s="272"/>
      <c r="BO161" s="272"/>
      <c r="BP161" s="272"/>
      <c r="BQ161" s="272"/>
      <c r="BR161" s="272"/>
      <c r="BS161" s="272"/>
      <c r="BT161" s="272"/>
      <c r="BU161" s="272"/>
      <c r="BV161" s="272"/>
      <c r="BW161" s="272"/>
    </row>
    <row r="162" spans="1:75" s="183" customFormat="1">
      <c r="A162" s="324"/>
      <c r="D162" s="271"/>
      <c r="E162" s="271"/>
      <c r="F162" s="271"/>
      <c r="G162" s="283"/>
      <c r="H162" s="283"/>
      <c r="I162" s="283"/>
      <c r="J162" s="271"/>
      <c r="K162" s="271"/>
      <c r="L162" s="271"/>
      <c r="M162" s="271"/>
      <c r="N162" s="271"/>
      <c r="O162" s="271"/>
      <c r="P162" s="323"/>
      <c r="Q162" s="271"/>
      <c r="R162" s="271"/>
      <c r="S162" s="271"/>
      <c r="T162" s="271"/>
      <c r="U162" s="272"/>
      <c r="V162" s="272"/>
      <c r="W162" s="272"/>
      <c r="X162" s="272"/>
      <c r="Y162" s="272"/>
      <c r="Z162" s="272"/>
      <c r="AA162" s="272"/>
      <c r="AB162" s="272"/>
      <c r="AC162" s="272"/>
      <c r="AD162" s="272"/>
      <c r="AE162" s="272"/>
      <c r="AF162" s="272"/>
      <c r="AG162" s="272"/>
      <c r="AH162" s="272"/>
      <c r="AI162" s="272"/>
      <c r="AJ162" s="272"/>
      <c r="AK162" s="272"/>
      <c r="AL162" s="272"/>
      <c r="AM162" s="272"/>
      <c r="AN162" s="272"/>
      <c r="AO162" s="272"/>
      <c r="AP162" s="272"/>
      <c r="AQ162" s="272"/>
      <c r="AR162" s="272"/>
      <c r="AS162" s="272"/>
      <c r="AT162" s="272"/>
      <c r="AU162" s="272"/>
      <c r="AV162" s="272"/>
      <c r="AW162" s="272"/>
      <c r="AX162" s="272"/>
      <c r="AY162" s="272"/>
      <c r="AZ162" s="272"/>
      <c r="BA162" s="272"/>
      <c r="BB162" s="272"/>
      <c r="BC162" s="272"/>
      <c r="BD162" s="272"/>
      <c r="BE162" s="272"/>
      <c r="BF162" s="272"/>
      <c r="BG162" s="272"/>
      <c r="BH162" s="272"/>
      <c r="BI162" s="272"/>
      <c r="BJ162" s="272"/>
      <c r="BK162" s="272"/>
      <c r="BL162" s="272"/>
      <c r="BM162" s="272"/>
      <c r="BN162" s="272"/>
      <c r="BO162" s="272"/>
      <c r="BP162" s="272"/>
      <c r="BQ162" s="272"/>
      <c r="BR162" s="272"/>
      <c r="BS162" s="272"/>
      <c r="BT162" s="272"/>
      <c r="BU162" s="272"/>
      <c r="BV162" s="272"/>
      <c r="BW162" s="272"/>
    </row>
    <row r="163" spans="1:75" s="183" customFormat="1">
      <c r="A163" s="324"/>
      <c r="D163" s="271"/>
      <c r="E163" s="271"/>
      <c r="F163" s="271"/>
      <c r="G163" s="283"/>
      <c r="H163" s="283"/>
      <c r="I163" s="283"/>
      <c r="J163" s="271"/>
      <c r="K163" s="271"/>
      <c r="L163" s="271"/>
      <c r="M163" s="271"/>
      <c r="N163" s="271"/>
      <c r="O163" s="271"/>
      <c r="P163" s="323"/>
      <c r="Q163" s="271"/>
      <c r="R163" s="271"/>
      <c r="S163" s="271"/>
      <c r="T163" s="271"/>
      <c r="U163" s="272"/>
      <c r="V163" s="272"/>
      <c r="W163" s="272"/>
      <c r="X163" s="272"/>
      <c r="Y163" s="272"/>
      <c r="Z163" s="272"/>
      <c r="AA163" s="272"/>
      <c r="AB163" s="272"/>
      <c r="AC163" s="272"/>
      <c r="AD163" s="272"/>
      <c r="AE163" s="272"/>
      <c r="AF163" s="272"/>
      <c r="AG163" s="272"/>
      <c r="AH163" s="272"/>
      <c r="AI163" s="272"/>
      <c r="AJ163" s="272"/>
      <c r="AK163" s="272"/>
      <c r="AL163" s="272"/>
      <c r="AM163" s="272"/>
      <c r="AN163" s="272"/>
      <c r="AO163" s="272"/>
      <c r="AP163" s="272"/>
      <c r="AQ163" s="272"/>
      <c r="AR163" s="272"/>
      <c r="AS163" s="272"/>
      <c r="AT163" s="272"/>
      <c r="AU163" s="272"/>
      <c r="AV163" s="272"/>
      <c r="AW163" s="272"/>
      <c r="AX163" s="272"/>
      <c r="AY163" s="272"/>
      <c r="AZ163" s="272"/>
      <c r="BA163" s="272"/>
      <c r="BB163" s="272"/>
      <c r="BC163" s="272"/>
      <c r="BD163" s="272"/>
      <c r="BE163" s="272"/>
      <c r="BF163" s="272"/>
      <c r="BG163" s="272"/>
      <c r="BH163" s="272"/>
      <c r="BI163" s="272"/>
      <c r="BJ163" s="272"/>
      <c r="BK163" s="272"/>
      <c r="BL163" s="272"/>
      <c r="BM163" s="272"/>
      <c r="BN163" s="272"/>
      <c r="BO163" s="272"/>
      <c r="BP163" s="272"/>
      <c r="BQ163" s="272"/>
      <c r="BR163" s="272"/>
      <c r="BS163" s="272"/>
      <c r="BT163" s="272"/>
      <c r="BU163" s="272"/>
      <c r="BV163" s="272"/>
      <c r="BW163" s="272"/>
    </row>
    <row r="164" spans="1:75" s="183" customFormat="1">
      <c r="A164" s="324"/>
      <c r="D164" s="271"/>
      <c r="E164" s="271"/>
      <c r="F164" s="271"/>
      <c r="G164" s="283"/>
      <c r="H164" s="283"/>
      <c r="I164" s="283"/>
      <c r="J164" s="271"/>
      <c r="K164" s="271"/>
      <c r="L164" s="271"/>
      <c r="M164" s="271"/>
      <c r="N164" s="271"/>
      <c r="O164" s="271"/>
      <c r="P164" s="323"/>
      <c r="Q164" s="271"/>
      <c r="R164" s="271"/>
      <c r="S164" s="271"/>
      <c r="T164" s="271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272"/>
      <c r="AL164" s="272"/>
      <c r="AM164" s="272"/>
      <c r="AN164" s="272"/>
      <c r="AO164" s="272"/>
      <c r="AP164" s="272"/>
      <c r="AQ164" s="272"/>
      <c r="AR164" s="272"/>
      <c r="AS164" s="272"/>
      <c r="AT164" s="272"/>
      <c r="AU164" s="272"/>
      <c r="AV164" s="272"/>
      <c r="AW164" s="272"/>
      <c r="AX164" s="272"/>
      <c r="AY164" s="272"/>
      <c r="AZ164" s="272"/>
      <c r="BA164" s="272"/>
      <c r="BB164" s="272"/>
      <c r="BC164" s="272"/>
      <c r="BD164" s="272"/>
      <c r="BE164" s="272"/>
      <c r="BF164" s="272"/>
      <c r="BG164" s="272"/>
      <c r="BH164" s="272"/>
      <c r="BI164" s="272"/>
      <c r="BJ164" s="272"/>
      <c r="BK164" s="272"/>
      <c r="BL164" s="272"/>
      <c r="BM164" s="272"/>
      <c r="BN164" s="272"/>
      <c r="BO164" s="272"/>
      <c r="BP164" s="272"/>
      <c r="BQ164" s="272"/>
      <c r="BR164" s="272"/>
      <c r="BS164" s="272"/>
      <c r="BT164" s="272"/>
      <c r="BU164" s="272"/>
      <c r="BV164" s="272"/>
      <c r="BW164" s="272"/>
    </row>
    <row r="165" spans="1:75" s="183" customFormat="1">
      <c r="A165" s="324"/>
      <c r="D165" s="271"/>
      <c r="E165" s="271"/>
      <c r="F165" s="271"/>
      <c r="G165" s="283"/>
      <c r="H165" s="283"/>
      <c r="I165" s="283"/>
      <c r="J165" s="271"/>
      <c r="K165" s="271"/>
      <c r="L165" s="271"/>
      <c r="M165" s="271"/>
      <c r="N165" s="271"/>
      <c r="O165" s="271"/>
      <c r="P165" s="323"/>
      <c r="Q165" s="271"/>
      <c r="R165" s="271"/>
      <c r="S165" s="271"/>
      <c r="T165" s="271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2"/>
      <c r="AG165" s="272"/>
      <c r="AH165" s="272"/>
      <c r="AI165" s="272"/>
      <c r="AJ165" s="272"/>
      <c r="AK165" s="272"/>
      <c r="AL165" s="272"/>
      <c r="AM165" s="272"/>
      <c r="AN165" s="272"/>
      <c r="AO165" s="272"/>
      <c r="AP165" s="272"/>
      <c r="AQ165" s="272"/>
      <c r="AR165" s="272"/>
      <c r="AS165" s="272"/>
      <c r="AT165" s="272"/>
      <c r="AU165" s="272"/>
      <c r="AV165" s="272"/>
      <c r="AW165" s="272"/>
      <c r="AX165" s="272"/>
      <c r="AY165" s="272"/>
      <c r="AZ165" s="272"/>
      <c r="BA165" s="272"/>
      <c r="BB165" s="272"/>
      <c r="BC165" s="272"/>
      <c r="BD165" s="272"/>
      <c r="BE165" s="272"/>
      <c r="BF165" s="272"/>
      <c r="BG165" s="272"/>
      <c r="BH165" s="272"/>
      <c r="BI165" s="272"/>
      <c r="BJ165" s="272"/>
      <c r="BK165" s="272"/>
      <c r="BL165" s="272"/>
      <c r="BM165" s="272"/>
      <c r="BN165" s="272"/>
      <c r="BO165" s="272"/>
      <c r="BP165" s="272"/>
      <c r="BQ165" s="272"/>
      <c r="BR165" s="272"/>
      <c r="BS165" s="272"/>
      <c r="BT165" s="272"/>
      <c r="BU165" s="272"/>
      <c r="BV165" s="272"/>
      <c r="BW165" s="272"/>
    </row>
    <row r="166" spans="1:75" s="183" customFormat="1">
      <c r="A166" s="324"/>
      <c r="D166" s="271"/>
      <c r="E166" s="271"/>
      <c r="F166" s="271"/>
      <c r="G166" s="283"/>
      <c r="H166" s="283"/>
      <c r="I166" s="283"/>
      <c r="J166" s="271"/>
      <c r="K166" s="271"/>
      <c r="L166" s="271"/>
      <c r="M166" s="271"/>
      <c r="N166" s="271"/>
      <c r="O166" s="271"/>
      <c r="P166" s="323"/>
      <c r="Q166" s="271"/>
      <c r="R166" s="271"/>
      <c r="S166" s="271"/>
      <c r="T166" s="271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2"/>
      <c r="AG166" s="272"/>
      <c r="AH166" s="272"/>
      <c r="AI166" s="272"/>
      <c r="AJ166" s="272"/>
      <c r="AK166" s="272"/>
      <c r="AL166" s="272"/>
      <c r="AM166" s="272"/>
      <c r="AN166" s="272"/>
      <c r="AO166" s="272"/>
      <c r="AP166" s="272"/>
      <c r="AQ166" s="272"/>
      <c r="AR166" s="272"/>
      <c r="AS166" s="272"/>
      <c r="AT166" s="272"/>
      <c r="AU166" s="272"/>
      <c r="AV166" s="272"/>
      <c r="AW166" s="272"/>
      <c r="AX166" s="272"/>
      <c r="AY166" s="272"/>
      <c r="AZ166" s="272"/>
      <c r="BA166" s="272"/>
      <c r="BB166" s="272"/>
      <c r="BC166" s="272"/>
      <c r="BD166" s="272"/>
      <c r="BE166" s="272"/>
      <c r="BF166" s="272"/>
      <c r="BG166" s="272"/>
      <c r="BH166" s="272"/>
      <c r="BI166" s="272"/>
      <c r="BJ166" s="272"/>
      <c r="BK166" s="272"/>
      <c r="BL166" s="272"/>
      <c r="BM166" s="272"/>
      <c r="BN166" s="272"/>
      <c r="BO166" s="272"/>
      <c r="BP166" s="272"/>
      <c r="BQ166" s="272"/>
      <c r="BR166" s="272"/>
      <c r="BS166" s="272"/>
      <c r="BT166" s="272"/>
      <c r="BU166" s="272"/>
      <c r="BV166" s="272"/>
      <c r="BW166" s="272"/>
    </row>
    <row r="167" spans="1:75" s="183" customFormat="1">
      <c r="A167" s="324"/>
      <c r="D167" s="271"/>
      <c r="E167" s="271"/>
      <c r="F167" s="271"/>
      <c r="G167" s="283"/>
      <c r="H167" s="283"/>
      <c r="I167" s="283"/>
      <c r="J167" s="271"/>
      <c r="K167" s="271"/>
      <c r="L167" s="271"/>
      <c r="M167" s="271"/>
      <c r="N167" s="271"/>
      <c r="O167" s="271"/>
      <c r="P167" s="323"/>
      <c r="Q167" s="271"/>
      <c r="R167" s="271"/>
      <c r="S167" s="271"/>
      <c r="T167" s="271"/>
      <c r="U167" s="272"/>
      <c r="V167" s="272"/>
      <c r="W167" s="272"/>
      <c r="X167" s="272"/>
      <c r="Y167" s="272"/>
      <c r="Z167" s="272"/>
      <c r="AA167" s="272"/>
      <c r="AB167" s="272"/>
      <c r="AC167" s="272"/>
      <c r="AD167" s="272"/>
      <c r="AE167" s="272"/>
      <c r="AF167" s="272"/>
      <c r="AG167" s="272"/>
      <c r="AH167" s="272"/>
      <c r="AI167" s="272"/>
      <c r="AJ167" s="272"/>
      <c r="AK167" s="272"/>
      <c r="AL167" s="272"/>
      <c r="AM167" s="272"/>
      <c r="AN167" s="272"/>
      <c r="AO167" s="272"/>
      <c r="AP167" s="272"/>
      <c r="AQ167" s="272"/>
      <c r="AR167" s="272"/>
      <c r="AS167" s="272"/>
      <c r="AT167" s="272"/>
      <c r="AU167" s="272"/>
      <c r="AV167" s="272"/>
      <c r="AW167" s="272"/>
      <c r="AX167" s="272"/>
      <c r="AY167" s="272"/>
      <c r="AZ167" s="272"/>
      <c r="BA167" s="272"/>
      <c r="BB167" s="272"/>
      <c r="BC167" s="272"/>
      <c r="BD167" s="272"/>
      <c r="BE167" s="272"/>
      <c r="BF167" s="272"/>
      <c r="BG167" s="272"/>
      <c r="BH167" s="272"/>
      <c r="BI167" s="272"/>
      <c r="BJ167" s="272"/>
      <c r="BK167" s="272"/>
      <c r="BL167" s="272"/>
      <c r="BM167" s="272"/>
      <c r="BN167" s="272"/>
      <c r="BO167" s="272"/>
      <c r="BP167" s="272"/>
      <c r="BQ167" s="272"/>
      <c r="BR167" s="272"/>
      <c r="BS167" s="272"/>
      <c r="BT167" s="272"/>
      <c r="BU167" s="272"/>
      <c r="BV167" s="272"/>
      <c r="BW167" s="272"/>
    </row>
    <row r="168" spans="1:75" s="183" customFormat="1">
      <c r="A168" s="324"/>
      <c r="D168" s="271"/>
      <c r="E168" s="271"/>
      <c r="F168" s="271"/>
      <c r="G168" s="283"/>
      <c r="H168" s="283"/>
      <c r="I168" s="283"/>
      <c r="J168" s="271"/>
      <c r="K168" s="271"/>
      <c r="L168" s="271"/>
      <c r="M168" s="271"/>
      <c r="N168" s="271"/>
      <c r="O168" s="271"/>
      <c r="P168" s="323"/>
      <c r="Q168" s="271"/>
      <c r="R168" s="271"/>
      <c r="S168" s="271"/>
      <c r="T168" s="271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2"/>
      <c r="AU168" s="272"/>
      <c r="AV168" s="272"/>
      <c r="AW168" s="272"/>
      <c r="AX168" s="272"/>
      <c r="AY168" s="272"/>
      <c r="AZ168" s="272"/>
      <c r="BA168" s="272"/>
      <c r="BB168" s="272"/>
      <c r="BC168" s="272"/>
      <c r="BD168" s="272"/>
      <c r="BE168" s="272"/>
      <c r="BF168" s="272"/>
      <c r="BG168" s="272"/>
      <c r="BH168" s="272"/>
      <c r="BI168" s="272"/>
      <c r="BJ168" s="272"/>
      <c r="BK168" s="272"/>
      <c r="BL168" s="272"/>
      <c r="BM168" s="272"/>
      <c r="BN168" s="272"/>
      <c r="BO168" s="272"/>
      <c r="BP168" s="272"/>
      <c r="BQ168" s="272"/>
      <c r="BR168" s="272"/>
      <c r="BS168" s="272"/>
      <c r="BT168" s="272"/>
      <c r="BU168" s="272"/>
      <c r="BV168" s="272"/>
      <c r="BW168" s="272"/>
    </row>
    <row r="169" spans="1:75" s="183" customFormat="1">
      <c r="A169" s="324"/>
      <c r="D169" s="271"/>
      <c r="E169" s="271"/>
      <c r="F169" s="271"/>
      <c r="G169" s="283"/>
      <c r="H169" s="283"/>
      <c r="I169" s="283"/>
      <c r="J169" s="271"/>
      <c r="K169" s="271"/>
      <c r="L169" s="271"/>
      <c r="M169" s="271"/>
      <c r="N169" s="271"/>
      <c r="O169" s="271"/>
      <c r="P169" s="323"/>
      <c r="Q169" s="271"/>
      <c r="R169" s="271"/>
      <c r="S169" s="271"/>
      <c r="T169" s="271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2"/>
      <c r="AE169" s="272"/>
      <c r="AF169" s="272"/>
      <c r="AG169" s="272"/>
      <c r="AH169" s="272"/>
      <c r="AI169" s="272"/>
      <c r="AJ169" s="272"/>
      <c r="AK169" s="272"/>
      <c r="AL169" s="272"/>
      <c r="AM169" s="272"/>
      <c r="AN169" s="272"/>
      <c r="AO169" s="272"/>
      <c r="AP169" s="272"/>
      <c r="AQ169" s="272"/>
      <c r="AR169" s="272"/>
      <c r="AS169" s="272"/>
      <c r="AT169" s="272"/>
      <c r="AU169" s="272"/>
      <c r="AV169" s="272"/>
      <c r="AW169" s="272"/>
      <c r="AX169" s="272"/>
      <c r="AY169" s="272"/>
      <c r="AZ169" s="272"/>
      <c r="BA169" s="272"/>
      <c r="BB169" s="272"/>
      <c r="BC169" s="272"/>
      <c r="BD169" s="272"/>
      <c r="BE169" s="272"/>
      <c r="BF169" s="272"/>
      <c r="BG169" s="272"/>
      <c r="BH169" s="272"/>
      <c r="BI169" s="272"/>
      <c r="BJ169" s="272"/>
      <c r="BK169" s="272"/>
      <c r="BL169" s="272"/>
      <c r="BM169" s="272"/>
      <c r="BN169" s="272"/>
      <c r="BO169" s="272"/>
      <c r="BP169" s="272"/>
      <c r="BQ169" s="272"/>
      <c r="BR169" s="272"/>
      <c r="BS169" s="272"/>
      <c r="BT169" s="272"/>
      <c r="BU169" s="272"/>
      <c r="BV169" s="272"/>
      <c r="BW169" s="272"/>
    </row>
    <row r="170" spans="1:75" s="183" customFormat="1">
      <c r="A170" s="324"/>
      <c r="D170" s="271"/>
      <c r="E170" s="271"/>
      <c r="F170" s="271"/>
      <c r="G170" s="283"/>
      <c r="H170" s="283"/>
      <c r="I170" s="283"/>
      <c r="J170" s="271"/>
      <c r="K170" s="271"/>
      <c r="L170" s="271"/>
      <c r="M170" s="271"/>
      <c r="N170" s="271"/>
      <c r="O170" s="271"/>
      <c r="P170" s="323"/>
      <c r="Q170" s="271"/>
      <c r="R170" s="271"/>
      <c r="S170" s="271"/>
      <c r="T170" s="271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2"/>
      <c r="BA170" s="272"/>
      <c r="BB170" s="272"/>
      <c r="BC170" s="272"/>
      <c r="BD170" s="272"/>
      <c r="BE170" s="272"/>
      <c r="BF170" s="272"/>
      <c r="BG170" s="272"/>
      <c r="BH170" s="272"/>
      <c r="BI170" s="272"/>
      <c r="BJ170" s="272"/>
      <c r="BK170" s="272"/>
      <c r="BL170" s="272"/>
      <c r="BM170" s="272"/>
      <c r="BN170" s="272"/>
      <c r="BO170" s="272"/>
      <c r="BP170" s="272"/>
      <c r="BQ170" s="272"/>
      <c r="BR170" s="272"/>
      <c r="BS170" s="272"/>
      <c r="BT170" s="272"/>
      <c r="BU170" s="272"/>
      <c r="BV170" s="272"/>
      <c r="BW170" s="272"/>
    </row>
    <row r="171" spans="1:75" s="183" customFormat="1">
      <c r="A171" s="324"/>
      <c r="D171" s="271"/>
      <c r="E171" s="271"/>
      <c r="F171" s="271"/>
      <c r="G171" s="283"/>
      <c r="H171" s="283"/>
      <c r="I171" s="283"/>
      <c r="J171" s="271"/>
      <c r="K171" s="271"/>
      <c r="L171" s="271"/>
      <c r="M171" s="271"/>
      <c r="N171" s="271"/>
      <c r="O171" s="271"/>
      <c r="P171" s="323"/>
      <c r="Q171" s="271"/>
      <c r="R171" s="271"/>
      <c r="S171" s="271"/>
      <c r="T171" s="271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2"/>
      <c r="AE171" s="272"/>
      <c r="AF171" s="272"/>
      <c r="AG171" s="272"/>
      <c r="AH171" s="272"/>
      <c r="AI171" s="272"/>
      <c r="AJ171" s="272"/>
      <c r="AK171" s="272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272"/>
      <c r="BA171" s="272"/>
      <c r="BB171" s="272"/>
      <c r="BC171" s="272"/>
      <c r="BD171" s="272"/>
      <c r="BE171" s="272"/>
      <c r="BF171" s="272"/>
      <c r="BG171" s="272"/>
      <c r="BH171" s="272"/>
      <c r="BI171" s="272"/>
      <c r="BJ171" s="272"/>
      <c r="BK171" s="272"/>
      <c r="BL171" s="272"/>
      <c r="BM171" s="272"/>
      <c r="BN171" s="272"/>
      <c r="BO171" s="272"/>
      <c r="BP171" s="272"/>
      <c r="BQ171" s="272"/>
      <c r="BR171" s="272"/>
      <c r="BS171" s="272"/>
      <c r="BT171" s="272"/>
      <c r="BU171" s="272"/>
      <c r="BV171" s="272"/>
      <c r="BW171" s="272"/>
    </row>
    <row r="172" spans="1:75" s="183" customFormat="1">
      <c r="A172" s="324"/>
      <c r="D172" s="271"/>
      <c r="E172" s="271"/>
      <c r="F172" s="271"/>
      <c r="G172" s="283"/>
      <c r="H172" s="283"/>
      <c r="I172" s="283"/>
      <c r="J172" s="271"/>
      <c r="K172" s="271"/>
      <c r="L172" s="271"/>
      <c r="M172" s="271"/>
      <c r="N172" s="271"/>
      <c r="O172" s="271"/>
      <c r="P172" s="323"/>
      <c r="Q172" s="271"/>
      <c r="R172" s="271"/>
      <c r="S172" s="271"/>
      <c r="T172" s="271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2"/>
      <c r="AE172" s="272"/>
      <c r="AF172" s="272"/>
      <c r="AG172" s="272"/>
      <c r="AH172" s="272"/>
      <c r="AI172" s="272"/>
      <c r="AJ172" s="272"/>
      <c r="AK172" s="272"/>
      <c r="AL172" s="272"/>
      <c r="AM172" s="272"/>
      <c r="AN172" s="272"/>
      <c r="AO172" s="272"/>
      <c r="AP172" s="272"/>
      <c r="AQ172" s="272"/>
      <c r="AR172" s="272"/>
      <c r="AS172" s="272"/>
      <c r="AT172" s="272"/>
      <c r="AU172" s="272"/>
      <c r="AV172" s="272"/>
      <c r="AW172" s="272"/>
      <c r="AX172" s="272"/>
      <c r="AY172" s="272"/>
      <c r="AZ172" s="272"/>
      <c r="BA172" s="272"/>
      <c r="BB172" s="272"/>
      <c r="BC172" s="272"/>
      <c r="BD172" s="272"/>
      <c r="BE172" s="272"/>
      <c r="BF172" s="272"/>
      <c r="BG172" s="272"/>
      <c r="BH172" s="272"/>
      <c r="BI172" s="272"/>
      <c r="BJ172" s="272"/>
      <c r="BK172" s="272"/>
      <c r="BL172" s="272"/>
      <c r="BM172" s="272"/>
      <c r="BN172" s="272"/>
      <c r="BO172" s="272"/>
      <c r="BP172" s="272"/>
      <c r="BQ172" s="272"/>
      <c r="BR172" s="272"/>
      <c r="BS172" s="272"/>
      <c r="BT172" s="272"/>
      <c r="BU172" s="272"/>
      <c r="BV172" s="272"/>
      <c r="BW172" s="272"/>
    </row>
    <row r="173" spans="1:75" s="183" customFormat="1">
      <c r="A173" s="324"/>
      <c r="D173" s="271"/>
      <c r="E173" s="271"/>
      <c r="F173" s="271"/>
      <c r="G173" s="283"/>
      <c r="H173" s="283"/>
      <c r="I173" s="283"/>
      <c r="J173" s="271"/>
      <c r="K173" s="271"/>
      <c r="L173" s="271"/>
      <c r="M173" s="271"/>
      <c r="N173" s="271"/>
      <c r="O173" s="271"/>
      <c r="P173" s="323"/>
      <c r="Q173" s="271"/>
      <c r="R173" s="271"/>
      <c r="S173" s="271"/>
      <c r="T173" s="271"/>
      <c r="U173" s="272"/>
      <c r="V173" s="272"/>
      <c r="W173" s="272"/>
      <c r="X173" s="272"/>
      <c r="Y173" s="272"/>
      <c r="Z173" s="272"/>
      <c r="AA173" s="272"/>
      <c r="AB173" s="272"/>
      <c r="AC173" s="272"/>
      <c r="AD173" s="272"/>
      <c r="AE173" s="272"/>
      <c r="AF173" s="272"/>
      <c r="AG173" s="272"/>
      <c r="AH173" s="272"/>
      <c r="AI173" s="272"/>
      <c r="AJ173" s="272"/>
      <c r="AK173" s="272"/>
      <c r="AL173" s="272"/>
      <c r="AM173" s="272"/>
      <c r="AN173" s="272"/>
      <c r="AO173" s="272"/>
      <c r="AP173" s="272"/>
      <c r="AQ173" s="272"/>
      <c r="AR173" s="272"/>
      <c r="AS173" s="272"/>
      <c r="AT173" s="272"/>
      <c r="AU173" s="272"/>
      <c r="AV173" s="272"/>
      <c r="AW173" s="272"/>
      <c r="AX173" s="272"/>
      <c r="AY173" s="272"/>
      <c r="AZ173" s="272"/>
      <c r="BA173" s="272"/>
      <c r="BB173" s="272"/>
      <c r="BC173" s="272"/>
      <c r="BD173" s="272"/>
      <c r="BE173" s="272"/>
      <c r="BF173" s="272"/>
      <c r="BG173" s="272"/>
      <c r="BH173" s="272"/>
      <c r="BI173" s="272"/>
      <c r="BJ173" s="272"/>
      <c r="BK173" s="272"/>
      <c r="BL173" s="272"/>
      <c r="BM173" s="272"/>
      <c r="BN173" s="272"/>
      <c r="BO173" s="272"/>
      <c r="BP173" s="272"/>
      <c r="BQ173" s="272"/>
      <c r="BR173" s="272"/>
      <c r="BS173" s="272"/>
      <c r="BT173" s="272"/>
      <c r="BU173" s="272"/>
      <c r="BV173" s="272"/>
      <c r="BW173" s="272"/>
    </row>
    <row r="174" spans="1:75" s="183" customFormat="1">
      <c r="A174" s="324"/>
      <c r="D174" s="271"/>
      <c r="E174" s="271"/>
      <c r="F174" s="271"/>
      <c r="G174" s="283"/>
      <c r="H174" s="283"/>
      <c r="I174" s="283"/>
      <c r="J174" s="271"/>
      <c r="K174" s="271"/>
      <c r="L174" s="271"/>
      <c r="M174" s="271"/>
      <c r="N174" s="271"/>
      <c r="O174" s="271"/>
      <c r="P174" s="323"/>
      <c r="Q174" s="271"/>
      <c r="R174" s="271"/>
      <c r="S174" s="271"/>
      <c r="T174" s="271"/>
      <c r="U174" s="272"/>
      <c r="V174" s="272"/>
      <c r="W174" s="272"/>
      <c r="X174" s="272"/>
      <c r="Y174" s="272"/>
      <c r="Z174" s="272"/>
      <c r="AA174" s="272"/>
      <c r="AB174" s="272"/>
      <c r="AC174" s="272"/>
      <c r="AD174" s="272"/>
      <c r="AE174" s="272"/>
      <c r="AF174" s="272"/>
      <c r="AG174" s="272"/>
      <c r="AH174" s="272"/>
      <c r="AI174" s="272"/>
      <c r="AJ174" s="272"/>
      <c r="AK174" s="272"/>
      <c r="AL174" s="272"/>
      <c r="AM174" s="272"/>
      <c r="AN174" s="272"/>
      <c r="AO174" s="272"/>
      <c r="AP174" s="272"/>
      <c r="AQ174" s="272"/>
      <c r="AR174" s="272"/>
      <c r="AS174" s="272"/>
      <c r="AT174" s="272"/>
      <c r="AU174" s="272"/>
      <c r="AV174" s="272"/>
      <c r="AW174" s="272"/>
      <c r="AX174" s="272"/>
      <c r="AY174" s="272"/>
      <c r="AZ174" s="272"/>
      <c r="BA174" s="272"/>
      <c r="BB174" s="272"/>
      <c r="BC174" s="272"/>
      <c r="BD174" s="272"/>
      <c r="BE174" s="272"/>
      <c r="BF174" s="272"/>
      <c r="BG174" s="272"/>
      <c r="BH174" s="272"/>
      <c r="BI174" s="272"/>
      <c r="BJ174" s="272"/>
      <c r="BK174" s="272"/>
      <c r="BL174" s="272"/>
      <c r="BM174" s="272"/>
      <c r="BN174" s="272"/>
      <c r="BO174" s="272"/>
      <c r="BP174" s="272"/>
      <c r="BQ174" s="272"/>
      <c r="BR174" s="272"/>
      <c r="BS174" s="272"/>
      <c r="BT174" s="272"/>
      <c r="BU174" s="272"/>
      <c r="BV174" s="272"/>
      <c r="BW174" s="272"/>
    </row>
    <row r="175" spans="1:75" s="183" customFormat="1">
      <c r="A175" s="324"/>
      <c r="D175" s="271"/>
      <c r="E175" s="271"/>
      <c r="F175" s="271"/>
      <c r="G175" s="283"/>
      <c r="H175" s="283"/>
      <c r="I175" s="283"/>
      <c r="J175" s="271"/>
      <c r="K175" s="271"/>
      <c r="L175" s="271"/>
      <c r="M175" s="271"/>
      <c r="N175" s="271"/>
      <c r="O175" s="271"/>
      <c r="P175" s="323"/>
      <c r="Q175" s="271"/>
      <c r="R175" s="271"/>
      <c r="S175" s="271"/>
      <c r="T175" s="271"/>
      <c r="U175" s="272"/>
      <c r="V175" s="272"/>
      <c r="W175" s="272"/>
      <c r="X175" s="272"/>
      <c r="Y175" s="272"/>
      <c r="Z175" s="272"/>
      <c r="AA175" s="272"/>
      <c r="AB175" s="272"/>
      <c r="AC175" s="272"/>
      <c r="AD175" s="272"/>
      <c r="AE175" s="272"/>
      <c r="AF175" s="272"/>
      <c r="AG175" s="272"/>
      <c r="AH175" s="272"/>
      <c r="AI175" s="272"/>
      <c r="AJ175" s="272"/>
      <c r="AK175" s="272"/>
      <c r="AL175" s="272"/>
      <c r="AM175" s="272"/>
      <c r="AN175" s="272"/>
      <c r="AO175" s="272"/>
      <c r="AP175" s="272"/>
      <c r="AQ175" s="272"/>
      <c r="AR175" s="272"/>
      <c r="AS175" s="272"/>
      <c r="AT175" s="272"/>
      <c r="AU175" s="272"/>
      <c r="AV175" s="272"/>
      <c r="AW175" s="272"/>
      <c r="AX175" s="272"/>
      <c r="AY175" s="272"/>
      <c r="AZ175" s="272"/>
      <c r="BA175" s="272"/>
      <c r="BB175" s="272"/>
      <c r="BC175" s="272"/>
      <c r="BD175" s="272"/>
      <c r="BE175" s="272"/>
      <c r="BF175" s="272"/>
      <c r="BG175" s="272"/>
      <c r="BH175" s="272"/>
      <c r="BI175" s="272"/>
      <c r="BJ175" s="272"/>
      <c r="BK175" s="272"/>
      <c r="BL175" s="272"/>
      <c r="BM175" s="272"/>
      <c r="BN175" s="272"/>
      <c r="BO175" s="272"/>
      <c r="BP175" s="272"/>
      <c r="BQ175" s="272"/>
      <c r="BR175" s="272"/>
      <c r="BS175" s="272"/>
      <c r="BT175" s="272"/>
      <c r="BU175" s="272"/>
      <c r="BV175" s="272"/>
      <c r="BW175" s="272"/>
    </row>
    <row r="176" spans="1:75" s="183" customFormat="1">
      <c r="A176" s="324"/>
      <c r="D176" s="271"/>
      <c r="E176" s="271"/>
      <c r="F176" s="271"/>
      <c r="G176" s="283"/>
      <c r="H176" s="283"/>
      <c r="I176" s="283"/>
      <c r="J176" s="271"/>
      <c r="K176" s="271"/>
      <c r="L176" s="271"/>
      <c r="M176" s="271"/>
      <c r="N176" s="271"/>
      <c r="O176" s="271"/>
      <c r="P176" s="323"/>
      <c r="Q176" s="271"/>
      <c r="R176" s="271"/>
      <c r="S176" s="271"/>
      <c r="T176" s="271"/>
      <c r="U176" s="272"/>
      <c r="V176" s="272"/>
      <c r="W176" s="272"/>
      <c r="X176" s="272"/>
      <c r="Y176" s="272"/>
      <c r="Z176" s="272"/>
      <c r="AA176" s="272"/>
      <c r="AB176" s="272"/>
      <c r="AC176" s="272"/>
      <c r="AD176" s="272"/>
      <c r="AE176" s="272"/>
      <c r="AF176" s="272"/>
      <c r="AG176" s="272"/>
      <c r="AH176" s="272"/>
      <c r="AI176" s="272"/>
      <c r="AJ176" s="272"/>
      <c r="AK176" s="272"/>
      <c r="AL176" s="272"/>
      <c r="AM176" s="272"/>
      <c r="AN176" s="272"/>
      <c r="AO176" s="272"/>
      <c r="AP176" s="272"/>
      <c r="AQ176" s="272"/>
      <c r="AR176" s="272"/>
      <c r="AS176" s="272"/>
      <c r="AT176" s="272"/>
      <c r="AU176" s="272"/>
      <c r="AV176" s="272"/>
      <c r="AW176" s="272"/>
      <c r="AX176" s="272"/>
      <c r="AY176" s="272"/>
      <c r="AZ176" s="272"/>
      <c r="BA176" s="272"/>
      <c r="BB176" s="272"/>
      <c r="BC176" s="272"/>
      <c r="BD176" s="272"/>
      <c r="BE176" s="272"/>
      <c r="BF176" s="272"/>
      <c r="BG176" s="272"/>
      <c r="BH176" s="272"/>
      <c r="BI176" s="272"/>
      <c r="BJ176" s="272"/>
      <c r="BK176" s="272"/>
      <c r="BL176" s="272"/>
      <c r="BM176" s="272"/>
      <c r="BN176" s="272"/>
      <c r="BO176" s="272"/>
      <c r="BP176" s="272"/>
      <c r="BQ176" s="272"/>
      <c r="BR176" s="272"/>
      <c r="BS176" s="272"/>
      <c r="BT176" s="272"/>
      <c r="BU176" s="272"/>
      <c r="BV176" s="272"/>
      <c r="BW176" s="272"/>
    </row>
    <row r="177" spans="1:75" s="183" customFormat="1">
      <c r="A177" s="324"/>
      <c r="D177" s="271"/>
      <c r="E177" s="271"/>
      <c r="F177" s="271"/>
      <c r="G177" s="283"/>
      <c r="H177" s="283"/>
      <c r="I177" s="283"/>
      <c r="J177" s="271"/>
      <c r="K177" s="271"/>
      <c r="L177" s="271"/>
      <c r="M177" s="271"/>
      <c r="N177" s="271"/>
      <c r="O177" s="271"/>
      <c r="P177" s="323"/>
      <c r="Q177" s="271"/>
      <c r="R177" s="271"/>
      <c r="S177" s="271"/>
      <c r="T177" s="271"/>
      <c r="U177" s="272"/>
      <c r="V177" s="272"/>
      <c r="W177" s="272"/>
      <c r="X177" s="272"/>
      <c r="Y177" s="272"/>
      <c r="Z177" s="272"/>
      <c r="AA177" s="272"/>
      <c r="AB177" s="272"/>
      <c r="AC177" s="272"/>
      <c r="AD177" s="272"/>
      <c r="AE177" s="272"/>
      <c r="AF177" s="272"/>
      <c r="AG177" s="272"/>
      <c r="AH177" s="272"/>
      <c r="AI177" s="272"/>
      <c r="AJ177" s="272"/>
      <c r="AK177" s="272"/>
      <c r="AL177" s="272"/>
      <c r="AM177" s="272"/>
      <c r="AN177" s="272"/>
      <c r="AO177" s="272"/>
      <c r="AP177" s="272"/>
      <c r="AQ177" s="272"/>
      <c r="AR177" s="272"/>
      <c r="AS177" s="272"/>
      <c r="AT177" s="272"/>
      <c r="AU177" s="272"/>
      <c r="AV177" s="272"/>
      <c r="AW177" s="272"/>
      <c r="AX177" s="272"/>
      <c r="AY177" s="272"/>
      <c r="AZ177" s="272"/>
      <c r="BA177" s="272"/>
      <c r="BB177" s="272"/>
      <c r="BC177" s="272"/>
      <c r="BD177" s="272"/>
      <c r="BE177" s="272"/>
      <c r="BF177" s="272"/>
      <c r="BG177" s="272"/>
      <c r="BH177" s="272"/>
      <c r="BI177" s="272"/>
      <c r="BJ177" s="272"/>
      <c r="BK177" s="272"/>
      <c r="BL177" s="272"/>
      <c r="BM177" s="272"/>
      <c r="BN177" s="272"/>
      <c r="BO177" s="272"/>
      <c r="BP177" s="272"/>
      <c r="BQ177" s="272"/>
      <c r="BR177" s="272"/>
      <c r="BS177" s="272"/>
      <c r="BT177" s="272"/>
      <c r="BU177" s="272"/>
      <c r="BV177" s="272"/>
      <c r="BW177" s="272"/>
    </row>
    <row r="178" spans="1:75" s="183" customFormat="1">
      <c r="A178" s="324"/>
      <c r="D178" s="271"/>
      <c r="E178" s="271"/>
      <c r="F178" s="271"/>
      <c r="G178" s="283"/>
      <c r="H178" s="283"/>
      <c r="I178" s="283"/>
      <c r="J178" s="271"/>
      <c r="K178" s="271"/>
      <c r="L178" s="271"/>
      <c r="M178" s="271"/>
      <c r="N178" s="271"/>
      <c r="O178" s="271"/>
      <c r="P178" s="323"/>
      <c r="Q178" s="271"/>
      <c r="R178" s="271"/>
      <c r="S178" s="271"/>
      <c r="T178" s="271"/>
      <c r="U178" s="272"/>
      <c r="V178" s="272"/>
      <c r="W178" s="272"/>
      <c r="X178" s="272"/>
      <c r="Y178" s="272"/>
      <c r="Z178" s="272"/>
      <c r="AA178" s="272"/>
      <c r="AB178" s="272"/>
      <c r="AC178" s="272"/>
      <c r="AD178" s="272"/>
      <c r="AE178" s="272"/>
      <c r="AF178" s="272"/>
      <c r="AG178" s="272"/>
      <c r="AH178" s="272"/>
      <c r="AI178" s="272"/>
      <c r="AJ178" s="272"/>
      <c r="AK178" s="272"/>
      <c r="AL178" s="272"/>
      <c r="AM178" s="272"/>
      <c r="AN178" s="272"/>
      <c r="AO178" s="272"/>
      <c r="AP178" s="272"/>
      <c r="AQ178" s="272"/>
      <c r="AR178" s="272"/>
      <c r="AS178" s="272"/>
      <c r="AT178" s="272"/>
      <c r="AU178" s="272"/>
      <c r="AV178" s="272"/>
      <c r="AW178" s="272"/>
      <c r="AX178" s="272"/>
      <c r="AY178" s="272"/>
      <c r="AZ178" s="272"/>
      <c r="BA178" s="272"/>
      <c r="BB178" s="272"/>
      <c r="BC178" s="272"/>
      <c r="BD178" s="272"/>
      <c r="BE178" s="272"/>
      <c r="BF178" s="272"/>
      <c r="BG178" s="272"/>
      <c r="BH178" s="272"/>
      <c r="BI178" s="272"/>
      <c r="BJ178" s="272"/>
      <c r="BK178" s="272"/>
      <c r="BL178" s="272"/>
      <c r="BM178" s="272"/>
      <c r="BN178" s="272"/>
      <c r="BO178" s="272"/>
      <c r="BP178" s="272"/>
      <c r="BQ178" s="272"/>
      <c r="BR178" s="272"/>
      <c r="BS178" s="272"/>
      <c r="BT178" s="272"/>
      <c r="BU178" s="272"/>
      <c r="BV178" s="272"/>
      <c r="BW178" s="272"/>
    </row>
    <row r="179" spans="1:75" s="183" customFormat="1">
      <c r="A179" s="324"/>
      <c r="D179" s="271"/>
      <c r="E179" s="271"/>
      <c r="F179" s="271"/>
      <c r="G179" s="283"/>
      <c r="H179" s="283"/>
      <c r="I179" s="283"/>
      <c r="J179" s="271"/>
      <c r="K179" s="271"/>
      <c r="L179" s="271"/>
      <c r="M179" s="271"/>
      <c r="N179" s="271"/>
      <c r="O179" s="271"/>
      <c r="P179" s="323"/>
      <c r="Q179" s="271"/>
      <c r="R179" s="271"/>
      <c r="S179" s="271"/>
      <c r="T179" s="271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2"/>
      <c r="AE179" s="272"/>
      <c r="AF179" s="272"/>
      <c r="AG179" s="272"/>
      <c r="AH179" s="272"/>
      <c r="AI179" s="272"/>
      <c r="AJ179" s="272"/>
      <c r="AK179" s="272"/>
      <c r="AL179" s="272"/>
      <c r="AM179" s="272"/>
      <c r="AN179" s="272"/>
      <c r="AO179" s="272"/>
      <c r="AP179" s="272"/>
      <c r="AQ179" s="272"/>
      <c r="AR179" s="272"/>
      <c r="AS179" s="272"/>
      <c r="AT179" s="272"/>
      <c r="AU179" s="272"/>
      <c r="AV179" s="272"/>
      <c r="AW179" s="272"/>
      <c r="AX179" s="272"/>
      <c r="AY179" s="272"/>
      <c r="AZ179" s="272"/>
      <c r="BA179" s="272"/>
      <c r="BB179" s="272"/>
      <c r="BC179" s="272"/>
      <c r="BD179" s="272"/>
      <c r="BE179" s="272"/>
      <c r="BF179" s="272"/>
      <c r="BG179" s="272"/>
      <c r="BH179" s="272"/>
      <c r="BI179" s="272"/>
      <c r="BJ179" s="272"/>
      <c r="BK179" s="272"/>
      <c r="BL179" s="272"/>
      <c r="BM179" s="272"/>
      <c r="BN179" s="272"/>
      <c r="BO179" s="272"/>
      <c r="BP179" s="272"/>
      <c r="BQ179" s="272"/>
      <c r="BR179" s="272"/>
      <c r="BS179" s="272"/>
      <c r="BT179" s="272"/>
      <c r="BU179" s="272"/>
      <c r="BV179" s="272"/>
      <c r="BW179" s="272"/>
    </row>
    <row r="180" spans="1:75" s="183" customFormat="1">
      <c r="A180" s="324"/>
      <c r="D180" s="271"/>
      <c r="E180" s="271"/>
      <c r="F180" s="271"/>
      <c r="G180" s="283"/>
      <c r="H180" s="283"/>
      <c r="I180" s="283"/>
      <c r="J180" s="271"/>
      <c r="K180" s="271"/>
      <c r="L180" s="271"/>
      <c r="M180" s="271"/>
      <c r="N180" s="271"/>
      <c r="O180" s="271"/>
      <c r="P180" s="323"/>
      <c r="Q180" s="271"/>
      <c r="R180" s="271"/>
      <c r="S180" s="271"/>
      <c r="T180" s="271"/>
      <c r="U180" s="272"/>
      <c r="V180" s="272"/>
      <c r="W180" s="272"/>
      <c r="X180" s="272"/>
      <c r="Y180" s="272"/>
      <c r="Z180" s="272"/>
      <c r="AA180" s="272"/>
      <c r="AB180" s="272"/>
      <c r="AC180" s="272"/>
      <c r="AD180" s="272"/>
      <c r="AE180" s="272"/>
      <c r="AF180" s="272"/>
      <c r="AG180" s="272"/>
      <c r="AH180" s="272"/>
      <c r="AI180" s="272"/>
      <c r="AJ180" s="272"/>
      <c r="AK180" s="272"/>
      <c r="AL180" s="272"/>
      <c r="AM180" s="272"/>
      <c r="AN180" s="272"/>
      <c r="AO180" s="272"/>
      <c r="AP180" s="272"/>
      <c r="AQ180" s="272"/>
      <c r="AR180" s="272"/>
      <c r="AS180" s="272"/>
      <c r="AT180" s="272"/>
      <c r="AU180" s="272"/>
      <c r="AV180" s="272"/>
      <c r="AW180" s="272"/>
      <c r="AX180" s="272"/>
      <c r="AY180" s="272"/>
      <c r="AZ180" s="272"/>
      <c r="BA180" s="272"/>
      <c r="BB180" s="272"/>
      <c r="BC180" s="272"/>
      <c r="BD180" s="272"/>
      <c r="BE180" s="272"/>
      <c r="BF180" s="272"/>
      <c r="BG180" s="272"/>
      <c r="BH180" s="272"/>
      <c r="BI180" s="272"/>
      <c r="BJ180" s="272"/>
      <c r="BK180" s="272"/>
      <c r="BL180" s="272"/>
      <c r="BM180" s="272"/>
      <c r="BN180" s="272"/>
      <c r="BO180" s="272"/>
      <c r="BP180" s="272"/>
      <c r="BQ180" s="272"/>
      <c r="BR180" s="272"/>
      <c r="BS180" s="272"/>
      <c r="BT180" s="272"/>
      <c r="BU180" s="272"/>
      <c r="BV180" s="272"/>
      <c r="BW180" s="272"/>
    </row>
    <row r="181" spans="1:75" s="183" customFormat="1">
      <c r="A181" s="324"/>
      <c r="D181" s="271"/>
      <c r="E181" s="271"/>
      <c r="F181" s="271"/>
      <c r="G181" s="283"/>
      <c r="H181" s="283"/>
      <c r="I181" s="283"/>
      <c r="J181" s="271"/>
      <c r="K181" s="271"/>
      <c r="L181" s="271"/>
      <c r="M181" s="271"/>
      <c r="N181" s="271"/>
      <c r="O181" s="271"/>
      <c r="P181" s="323"/>
      <c r="Q181" s="271"/>
      <c r="R181" s="271"/>
      <c r="S181" s="271"/>
      <c r="T181" s="271"/>
      <c r="U181" s="272"/>
      <c r="V181" s="272"/>
      <c r="W181" s="272"/>
      <c r="X181" s="272"/>
      <c r="Y181" s="272"/>
      <c r="Z181" s="272"/>
      <c r="AA181" s="272"/>
      <c r="AB181" s="272"/>
      <c r="AC181" s="272"/>
      <c r="AD181" s="272"/>
      <c r="AE181" s="272"/>
      <c r="AF181" s="272"/>
      <c r="AG181" s="272"/>
      <c r="AH181" s="272"/>
      <c r="AI181" s="272"/>
      <c r="AJ181" s="272"/>
      <c r="AK181" s="272"/>
      <c r="AL181" s="272"/>
      <c r="AM181" s="272"/>
      <c r="AN181" s="272"/>
      <c r="AO181" s="272"/>
      <c r="AP181" s="272"/>
      <c r="AQ181" s="272"/>
      <c r="AR181" s="272"/>
      <c r="AS181" s="272"/>
      <c r="AT181" s="272"/>
      <c r="AU181" s="272"/>
      <c r="AV181" s="272"/>
      <c r="AW181" s="272"/>
      <c r="AX181" s="272"/>
      <c r="AY181" s="272"/>
      <c r="AZ181" s="272"/>
      <c r="BA181" s="272"/>
      <c r="BB181" s="272"/>
      <c r="BC181" s="272"/>
      <c r="BD181" s="272"/>
      <c r="BE181" s="272"/>
      <c r="BF181" s="272"/>
      <c r="BG181" s="272"/>
      <c r="BH181" s="272"/>
      <c r="BI181" s="272"/>
      <c r="BJ181" s="272"/>
      <c r="BK181" s="272"/>
      <c r="BL181" s="272"/>
      <c r="BM181" s="272"/>
      <c r="BN181" s="272"/>
      <c r="BO181" s="272"/>
      <c r="BP181" s="272"/>
      <c r="BQ181" s="272"/>
      <c r="BR181" s="272"/>
      <c r="BS181" s="272"/>
      <c r="BT181" s="272"/>
      <c r="BU181" s="272"/>
      <c r="BV181" s="272"/>
      <c r="BW181" s="272"/>
    </row>
    <row r="182" spans="1:75" s="183" customFormat="1">
      <c r="A182" s="324"/>
      <c r="D182" s="271"/>
      <c r="E182" s="271"/>
      <c r="F182" s="271"/>
      <c r="G182" s="283"/>
      <c r="H182" s="283"/>
      <c r="I182" s="283"/>
      <c r="J182" s="271"/>
      <c r="K182" s="271"/>
      <c r="L182" s="271"/>
      <c r="M182" s="271"/>
      <c r="N182" s="271"/>
      <c r="O182" s="271"/>
      <c r="P182" s="323"/>
      <c r="Q182" s="271"/>
      <c r="R182" s="271"/>
      <c r="S182" s="271"/>
      <c r="T182" s="271"/>
      <c r="U182" s="272"/>
      <c r="V182" s="272"/>
      <c r="W182" s="272"/>
      <c r="X182" s="272"/>
      <c r="Y182" s="272"/>
      <c r="Z182" s="272"/>
      <c r="AA182" s="272"/>
      <c r="AB182" s="272"/>
      <c r="AC182" s="272"/>
      <c r="AD182" s="272"/>
      <c r="AE182" s="272"/>
      <c r="AF182" s="272"/>
      <c r="AG182" s="272"/>
      <c r="AH182" s="272"/>
      <c r="AI182" s="272"/>
      <c r="AJ182" s="272"/>
      <c r="AK182" s="272"/>
      <c r="AL182" s="272"/>
      <c r="AM182" s="272"/>
      <c r="AN182" s="272"/>
      <c r="AO182" s="272"/>
      <c r="AP182" s="272"/>
      <c r="AQ182" s="272"/>
      <c r="AR182" s="272"/>
      <c r="AS182" s="272"/>
      <c r="AT182" s="272"/>
      <c r="AU182" s="272"/>
      <c r="AV182" s="272"/>
      <c r="AW182" s="272"/>
      <c r="AX182" s="272"/>
      <c r="AY182" s="272"/>
      <c r="AZ182" s="272"/>
      <c r="BA182" s="272"/>
      <c r="BB182" s="272"/>
      <c r="BC182" s="272"/>
      <c r="BD182" s="272"/>
      <c r="BE182" s="272"/>
      <c r="BF182" s="272"/>
      <c r="BG182" s="272"/>
      <c r="BH182" s="272"/>
      <c r="BI182" s="272"/>
      <c r="BJ182" s="272"/>
      <c r="BK182" s="272"/>
      <c r="BL182" s="272"/>
      <c r="BM182" s="272"/>
      <c r="BN182" s="272"/>
      <c r="BO182" s="272"/>
      <c r="BP182" s="272"/>
      <c r="BQ182" s="272"/>
      <c r="BR182" s="272"/>
      <c r="BS182" s="272"/>
      <c r="BT182" s="272"/>
      <c r="BU182" s="272"/>
      <c r="BV182" s="272"/>
      <c r="BW182" s="272"/>
    </row>
    <row r="183" spans="1:75" s="183" customFormat="1">
      <c r="A183" s="324"/>
      <c r="D183" s="271"/>
      <c r="E183" s="271"/>
      <c r="F183" s="271"/>
      <c r="G183" s="283"/>
      <c r="H183" s="283"/>
      <c r="I183" s="283"/>
      <c r="J183" s="271"/>
      <c r="K183" s="271"/>
      <c r="L183" s="271"/>
      <c r="M183" s="271"/>
      <c r="N183" s="271"/>
      <c r="O183" s="271"/>
      <c r="P183" s="323"/>
      <c r="Q183" s="271"/>
      <c r="R183" s="271"/>
      <c r="S183" s="271"/>
      <c r="T183" s="271"/>
      <c r="U183" s="272"/>
      <c r="V183" s="272"/>
      <c r="W183" s="272"/>
      <c r="X183" s="272"/>
      <c r="Y183" s="272"/>
      <c r="Z183" s="272"/>
      <c r="AA183" s="272"/>
      <c r="AB183" s="272"/>
      <c r="AC183" s="272"/>
      <c r="AD183" s="272"/>
      <c r="AE183" s="272"/>
      <c r="AF183" s="272"/>
      <c r="AG183" s="272"/>
      <c r="AH183" s="272"/>
      <c r="AI183" s="272"/>
      <c r="AJ183" s="272"/>
      <c r="AK183" s="272"/>
      <c r="AL183" s="272"/>
      <c r="AM183" s="272"/>
      <c r="AN183" s="272"/>
      <c r="AO183" s="272"/>
      <c r="AP183" s="272"/>
      <c r="AQ183" s="272"/>
      <c r="AR183" s="272"/>
      <c r="AS183" s="272"/>
      <c r="AT183" s="272"/>
      <c r="AU183" s="272"/>
      <c r="AV183" s="272"/>
      <c r="AW183" s="272"/>
      <c r="AX183" s="272"/>
      <c r="AY183" s="272"/>
      <c r="AZ183" s="272"/>
      <c r="BA183" s="272"/>
      <c r="BB183" s="272"/>
      <c r="BC183" s="272"/>
      <c r="BD183" s="272"/>
      <c r="BE183" s="272"/>
      <c r="BF183" s="272"/>
      <c r="BG183" s="272"/>
      <c r="BH183" s="272"/>
      <c r="BI183" s="272"/>
      <c r="BJ183" s="272"/>
      <c r="BK183" s="272"/>
      <c r="BL183" s="272"/>
      <c r="BM183" s="272"/>
      <c r="BN183" s="272"/>
      <c r="BO183" s="272"/>
      <c r="BP183" s="272"/>
      <c r="BQ183" s="272"/>
      <c r="BR183" s="272"/>
      <c r="BS183" s="272"/>
      <c r="BT183" s="272"/>
      <c r="BU183" s="272"/>
      <c r="BV183" s="272"/>
      <c r="BW183" s="272"/>
    </row>
    <row r="184" spans="1:75" s="183" customFormat="1">
      <c r="A184" s="324"/>
      <c r="D184" s="271"/>
      <c r="E184" s="271"/>
      <c r="F184" s="271"/>
      <c r="G184" s="283"/>
      <c r="H184" s="283"/>
      <c r="I184" s="283"/>
      <c r="J184" s="271"/>
      <c r="K184" s="271"/>
      <c r="L184" s="271"/>
      <c r="M184" s="271"/>
      <c r="N184" s="271"/>
      <c r="O184" s="271"/>
      <c r="P184" s="323"/>
      <c r="Q184" s="271"/>
      <c r="R184" s="271"/>
      <c r="S184" s="271"/>
      <c r="T184" s="271"/>
      <c r="U184" s="272"/>
      <c r="V184" s="272"/>
      <c r="W184" s="272"/>
      <c r="X184" s="272"/>
      <c r="Y184" s="272"/>
      <c r="Z184" s="272"/>
      <c r="AA184" s="272"/>
      <c r="AB184" s="272"/>
      <c r="AC184" s="272"/>
      <c r="AD184" s="272"/>
      <c r="AE184" s="272"/>
      <c r="AF184" s="272"/>
      <c r="AG184" s="272"/>
      <c r="AH184" s="272"/>
      <c r="AI184" s="272"/>
      <c r="AJ184" s="272"/>
      <c r="AK184" s="272"/>
      <c r="AL184" s="272"/>
      <c r="AM184" s="272"/>
      <c r="AN184" s="272"/>
      <c r="AO184" s="272"/>
      <c r="AP184" s="272"/>
      <c r="AQ184" s="272"/>
      <c r="AR184" s="272"/>
      <c r="AS184" s="272"/>
      <c r="AT184" s="272"/>
      <c r="AU184" s="272"/>
      <c r="AV184" s="272"/>
      <c r="AW184" s="272"/>
      <c r="AX184" s="272"/>
      <c r="AY184" s="272"/>
      <c r="AZ184" s="272"/>
      <c r="BA184" s="272"/>
      <c r="BB184" s="272"/>
      <c r="BC184" s="272"/>
      <c r="BD184" s="272"/>
      <c r="BE184" s="272"/>
      <c r="BF184" s="272"/>
      <c r="BG184" s="272"/>
      <c r="BH184" s="272"/>
      <c r="BI184" s="272"/>
      <c r="BJ184" s="272"/>
      <c r="BK184" s="272"/>
      <c r="BL184" s="272"/>
      <c r="BM184" s="272"/>
      <c r="BN184" s="272"/>
      <c r="BO184" s="272"/>
      <c r="BP184" s="272"/>
      <c r="BQ184" s="272"/>
      <c r="BR184" s="272"/>
      <c r="BS184" s="272"/>
      <c r="BT184" s="272"/>
      <c r="BU184" s="272"/>
      <c r="BV184" s="272"/>
      <c r="BW184" s="272"/>
    </row>
    <row r="185" spans="1:75" s="183" customFormat="1">
      <c r="A185" s="324"/>
      <c r="D185" s="271"/>
      <c r="E185" s="271"/>
      <c r="F185" s="271"/>
      <c r="G185" s="283"/>
      <c r="H185" s="283"/>
      <c r="I185" s="283"/>
      <c r="J185" s="271"/>
      <c r="K185" s="271"/>
      <c r="L185" s="271"/>
      <c r="M185" s="271"/>
      <c r="N185" s="271"/>
      <c r="O185" s="271"/>
      <c r="P185" s="323"/>
      <c r="Q185" s="271"/>
      <c r="R185" s="271"/>
      <c r="S185" s="271"/>
      <c r="T185" s="271"/>
      <c r="U185" s="272"/>
      <c r="V185" s="272"/>
      <c r="W185" s="272"/>
      <c r="X185" s="272"/>
      <c r="Y185" s="272"/>
      <c r="Z185" s="272"/>
      <c r="AA185" s="272"/>
      <c r="AB185" s="272"/>
      <c r="AC185" s="272"/>
      <c r="AD185" s="272"/>
      <c r="AE185" s="272"/>
      <c r="AF185" s="272"/>
      <c r="AG185" s="272"/>
      <c r="AH185" s="272"/>
      <c r="AI185" s="272"/>
      <c r="AJ185" s="272"/>
      <c r="AK185" s="272"/>
      <c r="AL185" s="272"/>
      <c r="AM185" s="272"/>
      <c r="AN185" s="272"/>
      <c r="AO185" s="272"/>
      <c r="AP185" s="272"/>
      <c r="AQ185" s="272"/>
      <c r="AR185" s="272"/>
      <c r="AS185" s="272"/>
      <c r="AT185" s="272"/>
      <c r="AU185" s="272"/>
      <c r="AV185" s="272"/>
      <c r="AW185" s="272"/>
      <c r="AX185" s="272"/>
      <c r="AY185" s="272"/>
      <c r="AZ185" s="272"/>
      <c r="BA185" s="272"/>
      <c r="BB185" s="272"/>
      <c r="BC185" s="272"/>
      <c r="BD185" s="272"/>
      <c r="BE185" s="272"/>
      <c r="BF185" s="272"/>
      <c r="BG185" s="272"/>
      <c r="BH185" s="272"/>
      <c r="BI185" s="272"/>
      <c r="BJ185" s="272"/>
      <c r="BK185" s="272"/>
      <c r="BL185" s="272"/>
      <c r="BM185" s="272"/>
      <c r="BN185" s="272"/>
      <c r="BO185" s="272"/>
      <c r="BP185" s="272"/>
      <c r="BQ185" s="272"/>
      <c r="BR185" s="272"/>
      <c r="BS185" s="272"/>
      <c r="BT185" s="272"/>
      <c r="BU185" s="272"/>
      <c r="BV185" s="272"/>
      <c r="BW185" s="272"/>
    </row>
    <row r="186" spans="1:75" s="183" customFormat="1">
      <c r="A186" s="324"/>
      <c r="D186" s="271"/>
      <c r="E186" s="271"/>
      <c r="F186" s="271"/>
      <c r="G186" s="283"/>
      <c r="H186" s="283"/>
      <c r="I186" s="283"/>
      <c r="J186" s="271"/>
      <c r="K186" s="271"/>
      <c r="L186" s="271"/>
      <c r="M186" s="271"/>
      <c r="N186" s="271"/>
      <c r="O186" s="271"/>
      <c r="P186" s="323"/>
      <c r="Q186" s="271"/>
      <c r="R186" s="271"/>
      <c r="S186" s="271"/>
      <c r="T186" s="271"/>
      <c r="U186" s="272"/>
      <c r="V186" s="272"/>
      <c r="W186" s="272"/>
      <c r="X186" s="272"/>
      <c r="Y186" s="272"/>
      <c r="Z186" s="272"/>
      <c r="AA186" s="272"/>
      <c r="AB186" s="272"/>
      <c r="AC186" s="272"/>
      <c r="AD186" s="272"/>
      <c r="AE186" s="272"/>
      <c r="AF186" s="272"/>
      <c r="AG186" s="272"/>
      <c r="AH186" s="272"/>
      <c r="AI186" s="272"/>
      <c r="AJ186" s="272"/>
      <c r="AK186" s="272"/>
      <c r="AL186" s="272"/>
      <c r="AM186" s="272"/>
      <c r="AN186" s="272"/>
      <c r="AO186" s="272"/>
      <c r="AP186" s="272"/>
      <c r="AQ186" s="272"/>
      <c r="AR186" s="272"/>
      <c r="AS186" s="272"/>
      <c r="AT186" s="272"/>
      <c r="AU186" s="272"/>
      <c r="AV186" s="272"/>
      <c r="AW186" s="272"/>
      <c r="AX186" s="272"/>
      <c r="AY186" s="272"/>
      <c r="AZ186" s="272"/>
      <c r="BA186" s="272"/>
      <c r="BB186" s="272"/>
      <c r="BC186" s="272"/>
      <c r="BD186" s="272"/>
      <c r="BE186" s="272"/>
      <c r="BF186" s="272"/>
      <c r="BG186" s="272"/>
      <c r="BH186" s="272"/>
      <c r="BI186" s="272"/>
      <c r="BJ186" s="272"/>
      <c r="BK186" s="272"/>
      <c r="BL186" s="272"/>
      <c r="BM186" s="272"/>
      <c r="BN186" s="272"/>
      <c r="BO186" s="272"/>
      <c r="BP186" s="272"/>
      <c r="BQ186" s="272"/>
      <c r="BR186" s="272"/>
      <c r="BS186" s="272"/>
      <c r="BT186" s="272"/>
      <c r="BU186" s="272"/>
      <c r="BV186" s="272"/>
      <c r="BW186" s="272"/>
    </row>
    <row r="187" spans="1:75" s="183" customFormat="1">
      <c r="A187" s="324"/>
      <c r="D187" s="271"/>
      <c r="E187" s="271"/>
      <c r="F187" s="271"/>
      <c r="G187" s="283"/>
      <c r="H187" s="283"/>
      <c r="I187" s="283"/>
      <c r="J187" s="271"/>
      <c r="K187" s="271"/>
      <c r="L187" s="271"/>
      <c r="M187" s="271"/>
      <c r="N187" s="271"/>
      <c r="O187" s="271"/>
      <c r="P187" s="323"/>
      <c r="Q187" s="271"/>
      <c r="R187" s="271"/>
      <c r="S187" s="271"/>
      <c r="T187" s="271"/>
      <c r="U187" s="272"/>
      <c r="V187" s="272"/>
      <c r="W187" s="272"/>
      <c r="X187" s="272"/>
      <c r="Y187" s="272"/>
      <c r="Z187" s="272"/>
      <c r="AA187" s="272"/>
      <c r="AB187" s="272"/>
      <c r="AC187" s="272"/>
      <c r="AD187" s="272"/>
      <c r="AE187" s="272"/>
      <c r="AF187" s="272"/>
      <c r="AG187" s="272"/>
      <c r="AH187" s="272"/>
      <c r="AI187" s="272"/>
      <c r="AJ187" s="272"/>
      <c r="AK187" s="272"/>
      <c r="AL187" s="272"/>
      <c r="AM187" s="272"/>
      <c r="AN187" s="272"/>
      <c r="AO187" s="272"/>
      <c r="AP187" s="272"/>
      <c r="AQ187" s="272"/>
      <c r="AR187" s="272"/>
      <c r="AS187" s="272"/>
      <c r="AT187" s="272"/>
      <c r="AU187" s="272"/>
      <c r="AV187" s="272"/>
      <c r="AW187" s="272"/>
      <c r="AX187" s="272"/>
      <c r="AY187" s="272"/>
      <c r="AZ187" s="272"/>
      <c r="BA187" s="272"/>
      <c r="BB187" s="272"/>
      <c r="BC187" s="272"/>
      <c r="BD187" s="272"/>
      <c r="BE187" s="272"/>
      <c r="BF187" s="272"/>
      <c r="BG187" s="272"/>
      <c r="BH187" s="272"/>
      <c r="BI187" s="272"/>
      <c r="BJ187" s="272"/>
      <c r="BK187" s="272"/>
      <c r="BL187" s="272"/>
      <c r="BM187" s="272"/>
      <c r="BN187" s="272"/>
      <c r="BO187" s="272"/>
      <c r="BP187" s="272"/>
      <c r="BQ187" s="272"/>
      <c r="BR187" s="272"/>
      <c r="BS187" s="272"/>
      <c r="BT187" s="272"/>
      <c r="BU187" s="272"/>
      <c r="BV187" s="272"/>
      <c r="BW187" s="272"/>
    </row>
    <row r="188" spans="1:75" s="183" customFormat="1">
      <c r="A188" s="324"/>
      <c r="D188" s="271"/>
      <c r="E188" s="271"/>
      <c r="F188" s="271"/>
      <c r="G188" s="283"/>
      <c r="H188" s="283"/>
      <c r="I188" s="283"/>
      <c r="J188" s="271"/>
      <c r="K188" s="271"/>
      <c r="L188" s="271"/>
      <c r="M188" s="271"/>
      <c r="N188" s="271"/>
      <c r="O188" s="271"/>
      <c r="P188" s="323"/>
      <c r="Q188" s="271"/>
      <c r="R188" s="271"/>
      <c r="S188" s="271"/>
      <c r="T188" s="271"/>
      <c r="U188" s="272"/>
      <c r="V188" s="272"/>
      <c r="W188" s="272"/>
      <c r="X188" s="272"/>
      <c r="Y188" s="272"/>
      <c r="Z188" s="272"/>
      <c r="AA188" s="272"/>
      <c r="AB188" s="272"/>
      <c r="AC188" s="272"/>
      <c r="AD188" s="272"/>
      <c r="AE188" s="272"/>
      <c r="AF188" s="272"/>
      <c r="AG188" s="272"/>
      <c r="AH188" s="272"/>
      <c r="AI188" s="272"/>
      <c r="AJ188" s="272"/>
      <c r="AK188" s="272"/>
      <c r="AL188" s="272"/>
      <c r="AM188" s="272"/>
      <c r="AN188" s="272"/>
      <c r="AO188" s="272"/>
      <c r="AP188" s="272"/>
      <c r="AQ188" s="272"/>
      <c r="AR188" s="272"/>
      <c r="AS188" s="272"/>
      <c r="AT188" s="272"/>
      <c r="AU188" s="272"/>
      <c r="AV188" s="272"/>
      <c r="AW188" s="272"/>
      <c r="AX188" s="272"/>
      <c r="AY188" s="272"/>
      <c r="AZ188" s="272"/>
      <c r="BA188" s="272"/>
      <c r="BB188" s="272"/>
      <c r="BC188" s="272"/>
      <c r="BD188" s="272"/>
      <c r="BE188" s="272"/>
      <c r="BF188" s="272"/>
      <c r="BG188" s="272"/>
      <c r="BH188" s="272"/>
      <c r="BI188" s="272"/>
      <c r="BJ188" s="272"/>
      <c r="BK188" s="272"/>
      <c r="BL188" s="272"/>
      <c r="BM188" s="272"/>
      <c r="BN188" s="272"/>
      <c r="BO188" s="272"/>
      <c r="BP188" s="272"/>
      <c r="BQ188" s="272"/>
      <c r="BR188" s="272"/>
      <c r="BS188" s="272"/>
      <c r="BT188" s="272"/>
      <c r="BU188" s="272"/>
      <c r="BV188" s="272"/>
      <c r="BW188" s="272"/>
    </row>
    <row r="189" spans="1:75" s="183" customFormat="1">
      <c r="A189" s="324"/>
      <c r="D189" s="271"/>
      <c r="E189" s="271"/>
      <c r="F189" s="271"/>
      <c r="G189" s="283"/>
      <c r="H189" s="283"/>
      <c r="I189" s="283"/>
      <c r="J189" s="271"/>
      <c r="K189" s="271"/>
      <c r="L189" s="271"/>
      <c r="M189" s="271"/>
      <c r="N189" s="271"/>
      <c r="O189" s="271"/>
      <c r="P189" s="323"/>
      <c r="Q189" s="271"/>
      <c r="R189" s="271"/>
      <c r="S189" s="271"/>
      <c r="T189" s="271"/>
      <c r="U189" s="272"/>
      <c r="V189" s="272"/>
      <c r="W189" s="272"/>
      <c r="X189" s="272"/>
      <c r="Y189" s="272"/>
      <c r="Z189" s="272"/>
      <c r="AA189" s="272"/>
      <c r="AB189" s="272"/>
      <c r="AC189" s="272"/>
      <c r="AD189" s="272"/>
      <c r="AE189" s="272"/>
      <c r="AF189" s="272"/>
      <c r="AG189" s="272"/>
      <c r="AH189" s="272"/>
      <c r="AI189" s="272"/>
      <c r="AJ189" s="272"/>
      <c r="AK189" s="272"/>
      <c r="AL189" s="272"/>
      <c r="AM189" s="272"/>
      <c r="AN189" s="272"/>
      <c r="AO189" s="272"/>
      <c r="AP189" s="272"/>
      <c r="AQ189" s="272"/>
      <c r="AR189" s="272"/>
      <c r="AS189" s="272"/>
      <c r="AT189" s="272"/>
      <c r="AU189" s="272"/>
      <c r="AV189" s="272"/>
      <c r="AW189" s="272"/>
      <c r="AX189" s="272"/>
      <c r="AY189" s="272"/>
      <c r="AZ189" s="272"/>
      <c r="BA189" s="272"/>
      <c r="BB189" s="272"/>
      <c r="BC189" s="272"/>
      <c r="BD189" s="272"/>
      <c r="BE189" s="272"/>
      <c r="BF189" s="272"/>
      <c r="BG189" s="272"/>
      <c r="BH189" s="272"/>
      <c r="BI189" s="272"/>
      <c r="BJ189" s="272"/>
      <c r="BK189" s="272"/>
      <c r="BL189" s="272"/>
      <c r="BM189" s="272"/>
      <c r="BN189" s="272"/>
      <c r="BO189" s="272"/>
      <c r="BP189" s="272"/>
      <c r="BQ189" s="272"/>
      <c r="BR189" s="272"/>
      <c r="BS189" s="272"/>
      <c r="BT189" s="272"/>
      <c r="BU189" s="272"/>
      <c r="BV189" s="272"/>
      <c r="BW189" s="272"/>
    </row>
    <row r="190" spans="1:75" s="183" customFormat="1">
      <c r="A190" s="324"/>
      <c r="D190" s="271"/>
      <c r="E190" s="271"/>
      <c r="F190" s="271"/>
      <c r="G190" s="283"/>
      <c r="H190" s="283"/>
      <c r="I190" s="283"/>
      <c r="J190" s="271"/>
      <c r="K190" s="271"/>
      <c r="L190" s="271"/>
      <c r="M190" s="271"/>
      <c r="N190" s="271"/>
      <c r="O190" s="271"/>
      <c r="P190" s="323"/>
      <c r="Q190" s="271"/>
      <c r="R190" s="271"/>
      <c r="S190" s="271"/>
      <c r="T190" s="271"/>
      <c r="U190" s="272"/>
      <c r="V190" s="272"/>
      <c r="W190" s="272"/>
      <c r="X190" s="272"/>
      <c r="Y190" s="272"/>
      <c r="Z190" s="272"/>
      <c r="AA190" s="272"/>
      <c r="AB190" s="272"/>
      <c r="AC190" s="272"/>
      <c r="AD190" s="272"/>
      <c r="AE190" s="272"/>
      <c r="AF190" s="272"/>
      <c r="AG190" s="272"/>
      <c r="AH190" s="272"/>
      <c r="AI190" s="272"/>
      <c r="AJ190" s="272"/>
      <c r="AK190" s="272"/>
      <c r="AL190" s="272"/>
      <c r="AM190" s="272"/>
      <c r="AN190" s="272"/>
      <c r="AO190" s="272"/>
      <c r="AP190" s="272"/>
      <c r="AQ190" s="272"/>
      <c r="AR190" s="272"/>
      <c r="AS190" s="272"/>
      <c r="AT190" s="272"/>
      <c r="AU190" s="272"/>
      <c r="AV190" s="272"/>
      <c r="AW190" s="272"/>
      <c r="AX190" s="272"/>
      <c r="AY190" s="272"/>
      <c r="AZ190" s="272"/>
      <c r="BA190" s="272"/>
      <c r="BB190" s="272"/>
      <c r="BC190" s="272"/>
      <c r="BD190" s="272"/>
      <c r="BE190" s="272"/>
      <c r="BF190" s="272"/>
      <c r="BG190" s="272"/>
      <c r="BH190" s="272"/>
      <c r="BI190" s="272"/>
      <c r="BJ190" s="272"/>
      <c r="BK190" s="272"/>
      <c r="BL190" s="272"/>
      <c r="BM190" s="272"/>
      <c r="BN190" s="272"/>
      <c r="BO190" s="272"/>
      <c r="BP190" s="272"/>
      <c r="BQ190" s="272"/>
      <c r="BR190" s="272"/>
      <c r="BS190" s="272"/>
      <c r="BT190" s="272"/>
      <c r="BU190" s="272"/>
      <c r="BV190" s="272"/>
      <c r="BW190" s="272"/>
    </row>
    <row r="191" spans="1:75" s="183" customFormat="1">
      <c r="A191" s="324"/>
      <c r="D191" s="271"/>
      <c r="E191" s="271"/>
      <c r="F191" s="271"/>
      <c r="G191" s="283"/>
      <c r="H191" s="283"/>
      <c r="I191" s="283"/>
      <c r="J191" s="271"/>
      <c r="K191" s="271"/>
      <c r="L191" s="271"/>
      <c r="M191" s="271"/>
      <c r="N191" s="271"/>
      <c r="O191" s="271"/>
      <c r="P191" s="323"/>
      <c r="Q191" s="271"/>
      <c r="R191" s="271"/>
      <c r="S191" s="271"/>
      <c r="T191" s="271"/>
      <c r="U191" s="272"/>
      <c r="V191" s="272"/>
      <c r="W191" s="272"/>
      <c r="X191" s="272"/>
      <c r="Y191" s="272"/>
      <c r="Z191" s="272"/>
      <c r="AA191" s="272"/>
      <c r="AB191" s="272"/>
      <c r="AC191" s="272"/>
      <c r="AD191" s="272"/>
      <c r="AE191" s="272"/>
      <c r="AF191" s="272"/>
      <c r="AG191" s="272"/>
      <c r="AH191" s="272"/>
      <c r="AI191" s="272"/>
      <c r="AJ191" s="272"/>
      <c r="AK191" s="272"/>
      <c r="AL191" s="272"/>
      <c r="AM191" s="272"/>
      <c r="AN191" s="272"/>
      <c r="AO191" s="272"/>
      <c r="AP191" s="272"/>
      <c r="AQ191" s="272"/>
      <c r="AR191" s="272"/>
      <c r="AS191" s="272"/>
      <c r="AT191" s="272"/>
      <c r="AU191" s="272"/>
      <c r="AV191" s="272"/>
      <c r="AW191" s="272"/>
      <c r="AX191" s="272"/>
      <c r="AY191" s="272"/>
      <c r="AZ191" s="272"/>
      <c r="BA191" s="272"/>
      <c r="BB191" s="272"/>
      <c r="BC191" s="272"/>
      <c r="BD191" s="272"/>
      <c r="BE191" s="272"/>
      <c r="BF191" s="272"/>
      <c r="BG191" s="272"/>
      <c r="BH191" s="272"/>
      <c r="BI191" s="272"/>
      <c r="BJ191" s="272"/>
      <c r="BK191" s="272"/>
      <c r="BL191" s="272"/>
      <c r="BM191" s="272"/>
      <c r="BN191" s="272"/>
      <c r="BO191" s="272"/>
      <c r="BP191" s="272"/>
      <c r="BQ191" s="272"/>
      <c r="BR191" s="272"/>
      <c r="BS191" s="272"/>
      <c r="BT191" s="272"/>
      <c r="BU191" s="272"/>
      <c r="BV191" s="272"/>
      <c r="BW191" s="272"/>
    </row>
    <row r="192" spans="1:75" s="183" customFormat="1">
      <c r="A192" s="324"/>
      <c r="D192" s="271"/>
      <c r="E192" s="271"/>
      <c r="F192" s="271"/>
      <c r="G192" s="283"/>
      <c r="H192" s="283"/>
      <c r="I192" s="283"/>
      <c r="J192" s="271"/>
      <c r="K192" s="271"/>
      <c r="L192" s="271"/>
      <c r="M192" s="271"/>
      <c r="N192" s="271"/>
      <c r="O192" s="271"/>
      <c r="P192" s="323"/>
      <c r="Q192" s="271"/>
      <c r="R192" s="271"/>
      <c r="S192" s="271"/>
      <c r="T192" s="271"/>
      <c r="U192" s="272"/>
      <c r="V192" s="272"/>
      <c r="W192" s="272"/>
      <c r="X192" s="272"/>
      <c r="Y192" s="272"/>
      <c r="Z192" s="272"/>
      <c r="AA192" s="272"/>
      <c r="AB192" s="272"/>
      <c r="AC192" s="272"/>
      <c r="AD192" s="272"/>
      <c r="AE192" s="272"/>
      <c r="AF192" s="272"/>
      <c r="AG192" s="272"/>
      <c r="AH192" s="272"/>
      <c r="AI192" s="272"/>
      <c r="AJ192" s="272"/>
      <c r="AK192" s="272"/>
      <c r="AL192" s="272"/>
      <c r="AM192" s="272"/>
      <c r="AN192" s="272"/>
      <c r="AO192" s="272"/>
      <c r="AP192" s="272"/>
      <c r="AQ192" s="272"/>
      <c r="AR192" s="272"/>
      <c r="AS192" s="272"/>
      <c r="AT192" s="272"/>
      <c r="AU192" s="272"/>
      <c r="AV192" s="272"/>
      <c r="AW192" s="272"/>
      <c r="AX192" s="272"/>
      <c r="AY192" s="272"/>
      <c r="AZ192" s="272"/>
      <c r="BA192" s="272"/>
      <c r="BB192" s="272"/>
      <c r="BC192" s="272"/>
      <c r="BD192" s="272"/>
      <c r="BE192" s="272"/>
      <c r="BF192" s="272"/>
      <c r="BG192" s="272"/>
      <c r="BH192" s="272"/>
      <c r="BI192" s="272"/>
      <c r="BJ192" s="272"/>
      <c r="BK192" s="272"/>
      <c r="BL192" s="272"/>
      <c r="BM192" s="272"/>
      <c r="BN192" s="272"/>
      <c r="BO192" s="272"/>
      <c r="BP192" s="272"/>
      <c r="BQ192" s="272"/>
      <c r="BR192" s="272"/>
      <c r="BS192" s="272"/>
      <c r="BT192" s="272"/>
      <c r="BU192" s="272"/>
      <c r="BV192" s="272"/>
      <c r="BW192" s="272"/>
    </row>
    <row r="193" spans="1:75" s="183" customFormat="1">
      <c r="A193" s="324"/>
      <c r="D193" s="271"/>
      <c r="E193" s="271"/>
      <c r="F193" s="271"/>
      <c r="G193" s="283"/>
      <c r="H193" s="283"/>
      <c r="I193" s="283"/>
      <c r="J193" s="271"/>
      <c r="K193" s="271"/>
      <c r="L193" s="271"/>
      <c r="M193" s="271"/>
      <c r="N193" s="271"/>
      <c r="O193" s="271"/>
      <c r="P193" s="323"/>
      <c r="Q193" s="271"/>
      <c r="R193" s="271"/>
      <c r="S193" s="271"/>
      <c r="T193" s="271"/>
      <c r="U193" s="272"/>
      <c r="V193" s="272"/>
      <c r="W193" s="272"/>
      <c r="X193" s="272"/>
      <c r="Y193" s="272"/>
      <c r="Z193" s="272"/>
      <c r="AA193" s="272"/>
      <c r="AB193" s="272"/>
      <c r="AC193" s="272"/>
      <c r="AD193" s="272"/>
      <c r="AE193" s="272"/>
      <c r="AF193" s="272"/>
      <c r="AG193" s="272"/>
      <c r="AH193" s="272"/>
      <c r="AI193" s="272"/>
      <c r="AJ193" s="272"/>
      <c r="AK193" s="272"/>
      <c r="AL193" s="272"/>
      <c r="AM193" s="272"/>
      <c r="AN193" s="272"/>
      <c r="AO193" s="272"/>
      <c r="AP193" s="272"/>
      <c r="AQ193" s="272"/>
      <c r="AR193" s="272"/>
      <c r="AS193" s="272"/>
      <c r="AT193" s="272"/>
      <c r="AU193" s="272"/>
      <c r="AV193" s="272"/>
      <c r="AW193" s="272"/>
      <c r="AX193" s="272"/>
      <c r="AY193" s="272"/>
      <c r="AZ193" s="272"/>
      <c r="BA193" s="272"/>
      <c r="BB193" s="272"/>
      <c r="BC193" s="272"/>
      <c r="BD193" s="272"/>
      <c r="BE193" s="272"/>
      <c r="BF193" s="272"/>
      <c r="BG193" s="272"/>
      <c r="BH193" s="272"/>
      <c r="BI193" s="272"/>
      <c r="BJ193" s="272"/>
      <c r="BK193" s="272"/>
      <c r="BL193" s="272"/>
      <c r="BM193" s="272"/>
      <c r="BN193" s="272"/>
      <c r="BO193" s="272"/>
      <c r="BP193" s="272"/>
      <c r="BQ193" s="272"/>
      <c r="BR193" s="272"/>
      <c r="BS193" s="272"/>
      <c r="BT193" s="272"/>
      <c r="BU193" s="272"/>
      <c r="BV193" s="272"/>
      <c r="BW193" s="272"/>
    </row>
    <row r="194" spans="1:75" s="183" customFormat="1">
      <c r="A194" s="324"/>
      <c r="D194" s="271"/>
      <c r="E194" s="271"/>
      <c r="F194" s="271"/>
      <c r="G194" s="283"/>
      <c r="H194" s="283"/>
      <c r="I194" s="283"/>
      <c r="J194" s="271"/>
      <c r="K194" s="271"/>
      <c r="L194" s="271"/>
      <c r="M194" s="271"/>
      <c r="N194" s="271"/>
      <c r="O194" s="271"/>
      <c r="P194" s="323"/>
      <c r="Q194" s="271"/>
      <c r="R194" s="271"/>
      <c r="S194" s="271"/>
      <c r="T194" s="271"/>
      <c r="U194" s="272"/>
      <c r="V194" s="272"/>
      <c r="W194" s="272"/>
      <c r="X194" s="272"/>
      <c r="Y194" s="272"/>
      <c r="Z194" s="272"/>
      <c r="AA194" s="272"/>
      <c r="AB194" s="272"/>
      <c r="AC194" s="272"/>
      <c r="AD194" s="272"/>
      <c r="AE194" s="272"/>
      <c r="AF194" s="272"/>
      <c r="AG194" s="272"/>
      <c r="AH194" s="272"/>
      <c r="AI194" s="272"/>
      <c r="AJ194" s="272"/>
      <c r="AK194" s="272"/>
      <c r="AL194" s="272"/>
      <c r="AM194" s="272"/>
      <c r="AN194" s="272"/>
      <c r="AO194" s="272"/>
      <c r="AP194" s="272"/>
      <c r="AQ194" s="272"/>
      <c r="AR194" s="272"/>
      <c r="AS194" s="272"/>
      <c r="AT194" s="272"/>
      <c r="AU194" s="272"/>
      <c r="AV194" s="272"/>
      <c r="AW194" s="272"/>
      <c r="AX194" s="272"/>
      <c r="AY194" s="272"/>
      <c r="AZ194" s="272"/>
      <c r="BA194" s="272"/>
      <c r="BB194" s="272"/>
      <c r="BC194" s="272"/>
      <c r="BD194" s="272"/>
      <c r="BE194" s="272"/>
      <c r="BF194" s="272"/>
      <c r="BG194" s="272"/>
      <c r="BH194" s="272"/>
      <c r="BI194" s="272"/>
      <c r="BJ194" s="272"/>
      <c r="BK194" s="272"/>
      <c r="BL194" s="272"/>
      <c r="BM194" s="272"/>
      <c r="BN194" s="272"/>
      <c r="BO194" s="272"/>
      <c r="BP194" s="272"/>
      <c r="BQ194" s="272"/>
      <c r="BR194" s="272"/>
      <c r="BS194" s="272"/>
      <c r="BT194" s="272"/>
      <c r="BU194" s="272"/>
      <c r="BV194" s="272"/>
      <c r="BW194" s="272"/>
    </row>
    <row r="195" spans="1:75" s="183" customFormat="1">
      <c r="A195" s="324"/>
      <c r="D195" s="271"/>
      <c r="E195" s="271"/>
      <c r="F195" s="271"/>
      <c r="G195" s="283"/>
      <c r="H195" s="283"/>
      <c r="I195" s="283"/>
      <c r="J195" s="271"/>
      <c r="K195" s="271"/>
      <c r="L195" s="271"/>
      <c r="M195" s="271"/>
      <c r="N195" s="271"/>
      <c r="O195" s="271"/>
      <c r="P195" s="323"/>
      <c r="Q195" s="271"/>
      <c r="R195" s="271"/>
      <c r="S195" s="271"/>
      <c r="T195" s="271"/>
      <c r="U195" s="272"/>
      <c r="V195" s="272"/>
      <c r="W195" s="272"/>
      <c r="X195" s="272"/>
      <c r="Y195" s="272"/>
      <c r="Z195" s="272"/>
      <c r="AA195" s="272"/>
      <c r="AB195" s="272"/>
      <c r="AC195" s="272"/>
      <c r="AD195" s="272"/>
      <c r="AE195" s="272"/>
      <c r="AF195" s="272"/>
      <c r="AG195" s="272"/>
      <c r="AH195" s="272"/>
      <c r="AI195" s="272"/>
      <c r="AJ195" s="272"/>
      <c r="AK195" s="272"/>
      <c r="AL195" s="272"/>
      <c r="AM195" s="272"/>
      <c r="AN195" s="272"/>
      <c r="AO195" s="272"/>
      <c r="AP195" s="272"/>
      <c r="AQ195" s="272"/>
      <c r="AR195" s="272"/>
      <c r="AS195" s="272"/>
      <c r="AT195" s="272"/>
      <c r="AU195" s="272"/>
      <c r="AV195" s="272"/>
      <c r="AW195" s="272"/>
      <c r="AX195" s="272"/>
      <c r="AY195" s="272"/>
      <c r="AZ195" s="272"/>
      <c r="BA195" s="272"/>
      <c r="BB195" s="272"/>
      <c r="BC195" s="272"/>
      <c r="BD195" s="272"/>
      <c r="BE195" s="272"/>
      <c r="BF195" s="272"/>
      <c r="BG195" s="272"/>
      <c r="BH195" s="272"/>
      <c r="BI195" s="272"/>
      <c r="BJ195" s="272"/>
      <c r="BK195" s="272"/>
      <c r="BL195" s="272"/>
      <c r="BM195" s="272"/>
      <c r="BN195" s="272"/>
      <c r="BO195" s="272"/>
      <c r="BP195" s="272"/>
      <c r="BQ195" s="272"/>
      <c r="BR195" s="272"/>
      <c r="BS195" s="272"/>
      <c r="BT195" s="272"/>
      <c r="BU195" s="272"/>
      <c r="BV195" s="272"/>
      <c r="BW195" s="272"/>
    </row>
    <row r="196" spans="1:75" s="183" customFormat="1">
      <c r="A196" s="324"/>
      <c r="D196" s="271"/>
      <c r="E196" s="271"/>
      <c r="F196" s="271"/>
      <c r="G196" s="283"/>
      <c r="H196" s="283"/>
      <c r="I196" s="283"/>
      <c r="J196" s="271"/>
      <c r="K196" s="271"/>
      <c r="L196" s="271"/>
      <c r="M196" s="271"/>
      <c r="N196" s="271"/>
      <c r="O196" s="271"/>
      <c r="P196" s="323"/>
      <c r="Q196" s="271"/>
      <c r="R196" s="271"/>
      <c r="S196" s="271"/>
      <c r="T196" s="271"/>
      <c r="U196" s="272"/>
      <c r="V196" s="272"/>
      <c r="W196" s="272"/>
      <c r="X196" s="272"/>
      <c r="Y196" s="272"/>
      <c r="Z196" s="272"/>
      <c r="AA196" s="272"/>
      <c r="AB196" s="272"/>
      <c r="AC196" s="272"/>
      <c r="AD196" s="272"/>
      <c r="AE196" s="272"/>
      <c r="AF196" s="272"/>
      <c r="AG196" s="272"/>
      <c r="AH196" s="272"/>
      <c r="AI196" s="272"/>
      <c r="AJ196" s="272"/>
      <c r="AK196" s="272"/>
      <c r="AL196" s="272"/>
      <c r="AM196" s="272"/>
      <c r="AN196" s="272"/>
      <c r="AO196" s="272"/>
      <c r="AP196" s="272"/>
      <c r="AQ196" s="272"/>
      <c r="AR196" s="272"/>
      <c r="AS196" s="272"/>
      <c r="AT196" s="272"/>
      <c r="AU196" s="272"/>
      <c r="AV196" s="272"/>
      <c r="AW196" s="272"/>
      <c r="AX196" s="272"/>
      <c r="AY196" s="272"/>
      <c r="AZ196" s="272"/>
      <c r="BA196" s="272"/>
      <c r="BB196" s="272"/>
      <c r="BC196" s="272"/>
      <c r="BD196" s="272"/>
      <c r="BE196" s="272"/>
      <c r="BF196" s="272"/>
      <c r="BG196" s="272"/>
      <c r="BH196" s="272"/>
      <c r="BI196" s="272"/>
      <c r="BJ196" s="272"/>
      <c r="BK196" s="272"/>
      <c r="BL196" s="272"/>
      <c r="BM196" s="272"/>
      <c r="BN196" s="272"/>
      <c r="BO196" s="272"/>
      <c r="BP196" s="272"/>
      <c r="BQ196" s="272"/>
      <c r="BR196" s="272"/>
      <c r="BS196" s="272"/>
      <c r="BT196" s="272"/>
      <c r="BU196" s="272"/>
      <c r="BV196" s="272"/>
      <c r="BW196" s="272"/>
    </row>
    <row r="197" spans="1:75" s="183" customFormat="1">
      <c r="A197" s="324"/>
      <c r="D197" s="271"/>
      <c r="E197" s="271"/>
      <c r="F197" s="271"/>
      <c r="G197" s="283"/>
      <c r="H197" s="283"/>
      <c r="I197" s="283"/>
      <c r="J197" s="271"/>
      <c r="K197" s="271"/>
      <c r="L197" s="271"/>
      <c r="M197" s="271"/>
      <c r="N197" s="271"/>
      <c r="O197" s="271"/>
      <c r="P197" s="323"/>
      <c r="Q197" s="271"/>
      <c r="R197" s="271"/>
      <c r="S197" s="271"/>
      <c r="T197" s="271"/>
      <c r="U197" s="272"/>
      <c r="V197" s="272"/>
      <c r="W197" s="272"/>
      <c r="X197" s="272"/>
      <c r="Y197" s="272"/>
      <c r="Z197" s="272"/>
      <c r="AA197" s="272"/>
      <c r="AB197" s="272"/>
      <c r="AC197" s="272"/>
      <c r="AD197" s="272"/>
      <c r="AE197" s="272"/>
      <c r="AF197" s="272"/>
      <c r="AG197" s="272"/>
      <c r="AH197" s="272"/>
      <c r="AI197" s="272"/>
      <c r="AJ197" s="272"/>
      <c r="AK197" s="272"/>
      <c r="AL197" s="272"/>
      <c r="AM197" s="272"/>
      <c r="AN197" s="272"/>
      <c r="AO197" s="272"/>
      <c r="AP197" s="272"/>
      <c r="AQ197" s="272"/>
      <c r="AR197" s="272"/>
      <c r="AS197" s="272"/>
      <c r="AT197" s="272"/>
      <c r="AU197" s="272"/>
      <c r="AV197" s="272"/>
      <c r="AW197" s="272"/>
      <c r="AX197" s="272"/>
      <c r="AY197" s="272"/>
      <c r="AZ197" s="272"/>
      <c r="BA197" s="272"/>
      <c r="BB197" s="272"/>
      <c r="BC197" s="272"/>
      <c r="BD197" s="272"/>
      <c r="BE197" s="272"/>
      <c r="BF197" s="272"/>
      <c r="BG197" s="272"/>
      <c r="BH197" s="272"/>
      <c r="BI197" s="272"/>
      <c r="BJ197" s="272"/>
      <c r="BK197" s="272"/>
      <c r="BL197" s="272"/>
      <c r="BM197" s="272"/>
      <c r="BN197" s="272"/>
      <c r="BO197" s="272"/>
      <c r="BP197" s="272"/>
      <c r="BQ197" s="272"/>
      <c r="BR197" s="272"/>
      <c r="BS197" s="272"/>
      <c r="BT197" s="272"/>
      <c r="BU197" s="272"/>
      <c r="BV197" s="272"/>
      <c r="BW197" s="272"/>
    </row>
    <row r="198" spans="1:75" s="183" customFormat="1">
      <c r="A198" s="324"/>
      <c r="D198" s="271"/>
      <c r="E198" s="271"/>
      <c r="F198" s="271"/>
      <c r="G198" s="283"/>
      <c r="H198" s="283"/>
      <c r="I198" s="283"/>
      <c r="J198" s="271"/>
      <c r="K198" s="271"/>
      <c r="L198" s="271"/>
      <c r="M198" s="271"/>
      <c r="N198" s="271"/>
      <c r="O198" s="271"/>
      <c r="P198" s="323"/>
      <c r="Q198" s="271"/>
      <c r="R198" s="271"/>
      <c r="S198" s="271"/>
      <c r="T198" s="271"/>
      <c r="U198" s="272"/>
      <c r="V198" s="272"/>
      <c r="W198" s="272"/>
      <c r="X198" s="272"/>
      <c r="Y198" s="272"/>
      <c r="Z198" s="272"/>
      <c r="AA198" s="272"/>
      <c r="AB198" s="272"/>
      <c r="AC198" s="272"/>
      <c r="AD198" s="272"/>
      <c r="AE198" s="272"/>
      <c r="AF198" s="272"/>
      <c r="AG198" s="272"/>
      <c r="AH198" s="272"/>
      <c r="AI198" s="272"/>
      <c r="AJ198" s="272"/>
      <c r="AK198" s="272"/>
      <c r="AL198" s="272"/>
      <c r="AM198" s="272"/>
      <c r="AN198" s="272"/>
      <c r="AO198" s="272"/>
      <c r="AP198" s="272"/>
      <c r="AQ198" s="272"/>
      <c r="AR198" s="272"/>
      <c r="AS198" s="272"/>
      <c r="AT198" s="272"/>
      <c r="AU198" s="272"/>
      <c r="AV198" s="272"/>
      <c r="AW198" s="272"/>
      <c r="AX198" s="272"/>
      <c r="AY198" s="272"/>
      <c r="AZ198" s="272"/>
      <c r="BA198" s="272"/>
      <c r="BB198" s="272"/>
      <c r="BC198" s="272"/>
      <c r="BD198" s="272"/>
      <c r="BE198" s="272"/>
      <c r="BF198" s="272"/>
      <c r="BG198" s="272"/>
      <c r="BH198" s="272"/>
      <c r="BI198" s="272"/>
      <c r="BJ198" s="272"/>
      <c r="BK198" s="272"/>
      <c r="BL198" s="272"/>
      <c r="BM198" s="272"/>
      <c r="BN198" s="272"/>
      <c r="BO198" s="272"/>
      <c r="BP198" s="272"/>
      <c r="BQ198" s="272"/>
      <c r="BR198" s="272"/>
      <c r="BS198" s="272"/>
      <c r="BT198" s="272"/>
      <c r="BU198" s="272"/>
      <c r="BV198" s="272"/>
      <c r="BW198" s="272"/>
    </row>
    <row r="199" spans="1:75" s="183" customFormat="1">
      <c r="A199" s="324"/>
      <c r="D199" s="271"/>
      <c r="E199" s="271"/>
      <c r="F199" s="271"/>
      <c r="G199" s="283"/>
      <c r="H199" s="283"/>
      <c r="I199" s="283"/>
      <c r="J199" s="271"/>
      <c r="K199" s="271"/>
      <c r="L199" s="271"/>
      <c r="M199" s="271"/>
      <c r="N199" s="271"/>
      <c r="O199" s="271"/>
      <c r="P199" s="323"/>
      <c r="Q199" s="271"/>
      <c r="R199" s="271"/>
      <c r="S199" s="271"/>
      <c r="T199" s="271"/>
      <c r="U199" s="272"/>
      <c r="V199" s="272"/>
      <c r="W199" s="272"/>
      <c r="X199" s="272"/>
      <c r="Y199" s="272"/>
      <c r="Z199" s="272"/>
      <c r="AA199" s="272"/>
      <c r="AB199" s="272"/>
      <c r="AC199" s="272"/>
      <c r="AD199" s="272"/>
      <c r="AE199" s="272"/>
      <c r="AF199" s="272"/>
      <c r="AG199" s="272"/>
      <c r="AH199" s="272"/>
      <c r="AI199" s="272"/>
      <c r="AJ199" s="272"/>
      <c r="AK199" s="272"/>
      <c r="AL199" s="272"/>
      <c r="AM199" s="272"/>
      <c r="AN199" s="272"/>
      <c r="AO199" s="272"/>
      <c r="AP199" s="272"/>
      <c r="AQ199" s="272"/>
      <c r="AR199" s="272"/>
      <c r="AS199" s="272"/>
      <c r="AT199" s="272"/>
      <c r="AU199" s="272"/>
      <c r="AV199" s="272"/>
      <c r="AW199" s="272"/>
      <c r="AX199" s="272"/>
      <c r="AY199" s="272"/>
      <c r="AZ199" s="272"/>
      <c r="BA199" s="272"/>
      <c r="BB199" s="272"/>
      <c r="BC199" s="272"/>
      <c r="BD199" s="272"/>
      <c r="BE199" s="272"/>
      <c r="BF199" s="272"/>
      <c r="BG199" s="272"/>
      <c r="BH199" s="272"/>
      <c r="BI199" s="272"/>
      <c r="BJ199" s="272"/>
      <c r="BK199" s="272"/>
      <c r="BL199" s="272"/>
      <c r="BM199" s="272"/>
      <c r="BN199" s="272"/>
      <c r="BO199" s="272"/>
      <c r="BP199" s="272"/>
      <c r="BQ199" s="272"/>
      <c r="BR199" s="272"/>
      <c r="BS199" s="272"/>
      <c r="BT199" s="272"/>
      <c r="BU199" s="272"/>
      <c r="BV199" s="272"/>
      <c r="BW199" s="272"/>
    </row>
    <row r="200" spans="1:75" s="183" customFormat="1">
      <c r="A200" s="324"/>
      <c r="D200" s="271"/>
      <c r="E200" s="271"/>
      <c r="F200" s="271"/>
      <c r="G200" s="283"/>
      <c r="H200" s="283"/>
      <c r="I200" s="283"/>
      <c r="J200" s="271"/>
      <c r="K200" s="271"/>
      <c r="L200" s="271"/>
      <c r="M200" s="271"/>
      <c r="N200" s="271"/>
      <c r="O200" s="271"/>
      <c r="P200" s="323"/>
      <c r="Q200" s="271"/>
      <c r="R200" s="271"/>
      <c r="S200" s="271"/>
      <c r="T200" s="271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272"/>
      <c r="BE200" s="272"/>
      <c r="BF200" s="272"/>
      <c r="BG200" s="272"/>
      <c r="BH200" s="272"/>
      <c r="BI200" s="272"/>
      <c r="BJ200" s="272"/>
      <c r="BK200" s="272"/>
      <c r="BL200" s="272"/>
      <c r="BM200" s="272"/>
      <c r="BN200" s="272"/>
      <c r="BO200" s="272"/>
      <c r="BP200" s="272"/>
      <c r="BQ200" s="272"/>
      <c r="BR200" s="272"/>
      <c r="BS200" s="272"/>
      <c r="BT200" s="272"/>
      <c r="BU200" s="272"/>
      <c r="BV200" s="272"/>
      <c r="BW200" s="272"/>
    </row>
    <row r="201" spans="1:75" s="183" customFormat="1">
      <c r="A201" s="324"/>
      <c r="D201" s="271"/>
      <c r="E201" s="271"/>
      <c r="F201" s="271"/>
      <c r="G201" s="283"/>
      <c r="H201" s="283"/>
      <c r="I201" s="283"/>
      <c r="J201" s="271"/>
      <c r="K201" s="271"/>
      <c r="L201" s="271"/>
      <c r="M201" s="271"/>
      <c r="N201" s="271"/>
      <c r="O201" s="271"/>
      <c r="P201" s="323"/>
      <c r="Q201" s="271"/>
      <c r="R201" s="271"/>
      <c r="S201" s="271"/>
      <c r="T201" s="271"/>
      <c r="U201" s="272"/>
      <c r="V201" s="272"/>
      <c r="W201" s="272"/>
      <c r="X201" s="272"/>
      <c r="Y201" s="272"/>
      <c r="Z201" s="272"/>
      <c r="AA201" s="272"/>
      <c r="AB201" s="272"/>
      <c r="AC201" s="272"/>
      <c r="AD201" s="272"/>
      <c r="AE201" s="272"/>
      <c r="AF201" s="272"/>
      <c r="AG201" s="272"/>
      <c r="AH201" s="272"/>
      <c r="AI201" s="272"/>
      <c r="AJ201" s="272"/>
      <c r="AK201" s="272"/>
      <c r="AL201" s="272"/>
      <c r="AM201" s="272"/>
      <c r="AN201" s="272"/>
      <c r="AO201" s="272"/>
      <c r="AP201" s="272"/>
      <c r="AQ201" s="272"/>
      <c r="AR201" s="272"/>
      <c r="AS201" s="272"/>
      <c r="AT201" s="272"/>
      <c r="AU201" s="272"/>
      <c r="AV201" s="272"/>
      <c r="AW201" s="272"/>
      <c r="AX201" s="272"/>
      <c r="AY201" s="272"/>
      <c r="AZ201" s="272"/>
      <c r="BA201" s="272"/>
      <c r="BB201" s="272"/>
      <c r="BC201" s="272"/>
      <c r="BD201" s="272"/>
      <c r="BE201" s="272"/>
      <c r="BF201" s="272"/>
      <c r="BG201" s="272"/>
      <c r="BH201" s="272"/>
      <c r="BI201" s="272"/>
      <c r="BJ201" s="272"/>
      <c r="BK201" s="272"/>
      <c r="BL201" s="272"/>
      <c r="BM201" s="272"/>
      <c r="BN201" s="272"/>
      <c r="BO201" s="272"/>
      <c r="BP201" s="272"/>
      <c r="BQ201" s="272"/>
      <c r="BR201" s="272"/>
      <c r="BS201" s="272"/>
      <c r="BT201" s="272"/>
      <c r="BU201" s="272"/>
      <c r="BV201" s="272"/>
      <c r="BW201" s="272"/>
    </row>
    <row r="202" spans="1:75" s="183" customFormat="1">
      <c r="A202" s="324"/>
      <c r="D202" s="271"/>
      <c r="E202" s="271"/>
      <c r="F202" s="271"/>
      <c r="G202" s="283"/>
      <c r="H202" s="283"/>
      <c r="I202" s="283"/>
      <c r="J202" s="271"/>
      <c r="K202" s="271"/>
      <c r="L202" s="271"/>
      <c r="M202" s="271"/>
      <c r="N202" s="271"/>
      <c r="O202" s="271"/>
      <c r="P202" s="323"/>
      <c r="Q202" s="271"/>
      <c r="R202" s="271"/>
      <c r="S202" s="271"/>
      <c r="T202" s="271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2"/>
      <c r="AT202" s="272"/>
      <c r="AU202" s="272"/>
      <c r="AV202" s="272"/>
      <c r="AW202" s="272"/>
      <c r="AX202" s="272"/>
      <c r="AY202" s="272"/>
      <c r="AZ202" s="272"/>
      <c r="BA202" s="272"/>
      <c r="BB202" s="272"/>
      <c r="BC202" s="272"/>
      <c r="BD202" s="272"/>
      <c r="BE202" s="272"/>
      <c r="BF202" s="272"/>
      <c r="BG202" s="272"/>
      <c r="BH202" s="272"/>
      <c r="BI202" s="272"/>
      <c r="BJ202" s="272"/>
      <c r="BK202" s="272"/>
      <c r="BL202" s="272"/>
      <c r="BM202" s="272"/>
      <c r="BN202" s="272"/>
      <c r="BO202" s="272"/>
      <c r="BP202" s="272"/>
      <c r="BQ202" s="272"/>
      <c r="BR202" s="272"/>
      <c r="BS202" s="272"/>
      <c r="BT202" s="272"/>
      <c r="BU202" s="272"/>
      <c r="BV202" s="272"/>
      <c r="BW202" s="272"/>
    </row>
    <row r="203" spans="1:75" s="183" customFormat="1">
      <c r="A203" s="324"/>
      <c r="D203" s="271"/>
      <c r="E203" s="271"/>
      <c r="F203" s="271"/>
      <c r="G203" s="283"/>
      <c r="H203" s="283"/>
      <c r="I203" s="283"/>
      <c r="J203" s="271"/>
      <c r="K203" s="271"/>
      <c r="L203" s="271"/>
      <c r="M203" s="271"/>
      <c r="N203" s="271"/>
      <c r="O203" s="271"/>
      <c r="P203" s="323"/>
      <c r="Q203" s="271"/>
      <c r="R203" s="271"/>
      <c r="S203" s="271"/>
      <c r="T203" s="271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  <c r="AM203" s="272"/>
      <c r="AN203" s="272"/>
      <c r="AO203" s="272"/>
      <c r="AP203" s="272"/>
      <c r="AQ203" s="272"/>
      <c r="AR203" s="272"/>
      <c r="AS203" s="272"/>
      <c r="AT203" s="272"/>
      <c r="AU203" s="272"/>
      <c r="AV203" s="272"/>
      <c r="AW203" s="272"/>
      <c r="AX203" s="272"/>
      <c r="AY203" s="272"/>
      <c r="AZ203" s="272"/>
      <c r="BA203" s="272"/>
      <c r="BB203" s="272"/>
      <c r="BC203" s="272"/>
      <c r="BD203" s="272"/>
      <c r="BE203" s="272"/>
      <c r="BF203" s="272"/>
      <c r="BG203" s="272"/>
      <c r="BH203" s="272"/>
      <c r="BI203" s="272"/>
      <c r="BJ203" s="272"/>
      <c r="BK203" s="272"/>
      <c r="BL203" s="272"/>
      <c r="BM203" s="272"/>
      <c r="BN203" s="272"/>
      <c r="BO203" s="272"/>
      <c r="BP203" s="272"/>
      <c r="BQ203" s="272"/>
      <c r="BR203" s="272"/>
      <c r="BS203" s="272"/>
      <c r="BT203" s="272"/>
      <c r="BU203" s="272"/>
      <c r="BV203" s="272"/>
      <c r="BW203" s="272"/>
    </row>
    <row r="204" spans="1:75" s="183" customFormat="1">
      <c r="A204" s="324"/>
      <c r="D204" s="271"/>
      <c r="E204" s="271"/>
      <c r="F204" s="271"/>
      <c r="G204" s="283"/>
      <c r="H204" s="283"/>
      <c r="I204" s="283"/>
      <c r="J204" s="271"/>
      <c r="K204" s="271"/>
      <c r="L204" s="271"/>
      <c r="M204" s="271"/>
      <c r="N204" s="271"/>
      <c r="O204" s="271"/>
      <c r="P204" s="323"/>
      <c r="Q204" s="271"/>
      <c r="R204" s="271"/>
      <c r="S204" s="271"/>
      <c r="T204" s="271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  <c r="AM204" s="272"/>
      <c r="AN204" s="272"/>
      <c r="AO204" s="272"/>
      <c r="AP204" s="272"/>
      <c r="AQ204" s="272"/>
      <c r="AR204" s="272"/>
      <c r="AS204" s="272"/>
      <c r="AT204" s="272"/>
      <c r="AU204" s="272"/>
      <c r="AV204" s="272"/>
      <c r="AW204" s="272"/>
      <c r="AX204" s="272"/>
      <c r="AY204" s="272"/>
      <c r="AZ204" s="272"/>
      <c r="BA204" s="272"/>
      <c r="BB204" s="272"/>
      <c r="BC204" s="272"/>
      <c r="BD204" s="272"/>
      <c r="BE204" s="272"/>
      <c r="BF204" s="272"/>
      <c r="BG204" s="272"/>
      <c r="BH204" s="272"/>
      <c r="BI204" s="272"/>
      <c r="BJ204" s="272"/>
      <c r="BK204" s="272"/>
      <c r="BL204" s="272"/>
      <c r="BM204" s="272"/>
      <c r="BN204" s="272"/>
      <c r="BO204" s="272"/>
      <c r="BP204" s="272"/>
      <c r="BQ204" s="272"/>
      <c r="BR204" s="272"/>
      <c r="BS204" s="272"/>
      <c r="BT204" s="272"/>
      <c r="BU204" s="272"/>
      <c r="BV204" s="272"/>
      <c r="BW204" s="272"/>
    </row>
    <row r="205" spans="1:75" s="183" customFormat="1">
      <c r="A205" s="324"/>
      <c r="D205" s="271"/>
      <c r="E205" s="271"/>
      <c r="F205" s="271"/>
      <c r="G205" s="283"/>
      <c r="H205" s="283"/>
      <c r="I205" s="283"/>
      <c r="J205" s="271"/>
      <c r="K205" s="271"/>
      <c r="L205" s="271"/>
      <c r="M205" s="271"/>
      <c r="N205" s="271"/>
      <c r="O205" s="271"/>
      <c r="P205" s="323"/>
      <c r="Q205" s="271"/>
      <c r="R205" s="271"/>
      <c r="S205" s="271"/>
      <c r="T205" s="271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  <c r="AM205" s="272"/>
      <c r="AN205" s="272"/>
      <c r="AO205" s="272"/>
      <c r="AP205" s="272"/>
      <c r="AQ205" s="272"/>
      <c r="AR205" s="272"/>
      <c r="AS205" s="272"/>
      <c r="AT205" s="272"/>
      <c r="AU205" s="272"/>
      <c r="AV205" s="272"/>
      <c r="AW205" s="272"/>
      <c r="AX205" s="272"/>
      <c r="AY205" s="272"/>
      <c r="AZ205" s="272"/>
      <c r="BA205" s="272"/>
      <c r="BB205" s="272"/>
      <c r="BC205" s="272"/>
      <c r="BD205" s="272"/>
      <c r="BE205" s="272"/>
      <c r="BF205" s="272"/>
      <c r="BG205" s="272"/>
      <c r="BH205" s="272"/>
      <c r="BI205" s="272"/>
      <c r="BJ205" s="272"/>
      <c r="BK205" s="272"/>
      <c r="BL205" s="272"/>
      <c r="BM205" s="272"/>
      <c r="BN205" s="272"/>
      <c r="BO205" s="272"/>
      <c r="BP205" s="272"/>
      <c r="BQ205" s="272"/>
      <c r="BR205" s="272"/>
      <c r="BS205" s="272"/>
      <c r="BT205" s="272"/>
      <c r="BU205" s="272"/>
      <c r="BV205" s="272"/>
      <c r="BW205" s="272"/>
    </row>
    <row r="206" spans="1:75" s="183" customFormat="1">
      <c r="A206" s="324"/>
      <c r="D206" s="271"/>
      <c r="E206" s="271"/>
      <c r="F206" s="271"/>
      <c r="G206" s="283"/>
      <c r="H206" s="283"/>
      <c r="I206" s="283"/>
      <c r="J206" s="271"/>
      <c r="K206" s="271"/>
      <c r="L206" s="271"/>
      <c r="M206" s="271"/>
      <c r="N206" s="271"/>
      <c r="O206" s="271"/>
      <c r="P206" s="323"/>
      <c r="Q206" s="271"/>
      <c r="R206" s="271"/>
      <c r="S206" s="271"/>
      <c r="T206" s="271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  <c r="AM206" s="272"/>
      <c r="AN206" s="272"/>
      <c r="AO206" s="272"/>
      <c r="AP206" s="272"/>
      <c r="AQ206" s="272"/>
      <c r="AR206" s="272"/>
      <c r="AS206" s="272"/>
      <c r="AT206" s="272"/>
      <c r="AU206" s="272"/>
      <c r="AV206" s="272"/>
      <c r="AW206" s="272"/>
      <c r="AX206" s="272"/>
      <c r="AY206" s="272"/>
      <c r="AZ206" s="272"/>
      <c r="BA206" s="272"/>
      <c r="BB206" s="272"/>
      <c r="BC206" s="272"/>
      <c r="BD206" s="272"/>
      <c r="BE206" s="272"/>
      <c r="BF206" s="272"/>
      <c r="BG206" s="272"/>
      <c r="BH206" s="272"/>
      <c r="BI206" s="272"/>
      <c r="BJ206" s="272"/>
      <c r="BK206" s="272"/>
      <c r="BL206" s="272"/>
      <c r="BM206" s="272"/>
      <c r="BN206" s="272"/>
      <c r="BO206" s="272"/>
      <c r="BP206" s="272"/>
      <c r="BQ206" s="272"/>
      <c r="BR206" s="272"/>
      <c r="BS206" s="272"/>
      <c r="BT206" s="272"/>
      <c r="BU206" s="272"/>
      <c r="BV206" s="272"/>
      <c r="BW206" s="272"/>
    </row>
    <row r="207" spans="1:75" s="183" customFormat="1">
      <c r="A207" s="324"/>
      <c r="D207" s="271"/>
      <c r="E207" s="271"/>
      <c r="F207" s="271"/>
      <c r="G207" s="283"/>
      <c r="H207" s="283"/>
      <c r="I207" s="283"/>
      <c r="J207" s="271"/>
      <c r="K207" s="271"/>
      <c r="L207" s="271"/>
      <c r="M207" s="271"/>
      <c r="N207" s="271"/>
      <c r="O207" s="271"/>
      <c r="P207" s="323"/>
      <c r="Q207" s="271"/>
      <c r="R207" s="271"/>
      <c r="S207" s="271"/>
      <c r="T207" s="271"/>
      <c r="U207" s="272"/>
      <c r="V207" s="272"/>
      <c r="W207" s="272"/>
      <c r="X207" s="272"/>
      <c r="Y207" s="272"/>
      <c r="Z207" s="272"/>
      <c r="AA207" s="272"/>
      <c r="AB207" s="272"/>
      <c r="AC207" s="272"/>
      <c r="AD207" s="272"/>
      <c r="AE207" s="272"/>
      <c r="AF207" s="272"/>
      <c r="AG207" s="272"/>
      <c r="AH207" s="272"/>
      <c r="AI207" s="272"/>
      <c r="AJ207" s="272"/>
      <c r="AK207" s="272"/>
      <c r="AL207" s="272"/>
      <c r="AM207" s="272"/>
      <c r="AN207" s="272"/>
      <c r="AO207" s="272"/>
      <c r="AP207" s="272"/>
      <c r="AQ207" s="272"/>
      <c r="AR207" s="272"/>
      <c r="AS207" s="272"/>
      <c r="AT207" s="272"/>
      <c r="AU207" s="272"/>
      <c r="AV207" s="272"/>
      <c r="AW207" s="272"/>
      <c r="AX207" s="272"/>
      <c r="AY207" s="272"/>
      <c r="AZ207" s="272"/>
      <c r="BA207" s="272"/>
      <c r="BB207" s="272"/>
      <c r="BC207" s="272"/>
      <c r="BD207" s="272"/>
      <c r="BE207" s="272"/>
      <c r="BF207" s="272"/>
      <c r="BG207" s="272"/>
      <c r="BH207" s="272"/>
      <c r="BI207" s="272"/>
      <c r="BJ207" s="272"/>
      <c r="BK207" s="272"/>
      <c r="BL207" s="272"/>
      <c r="BM207" s="272"/>
      <c r="BN207" s="272"/>
      <c r="BO207" s="272"/>
      <c r="BP207" s="272"/>
      <c r="BQ207" s="272"/>
      <c r="BR207" s="272"/>
      <c r="BS207" s="272"/>
      <c r="BT207" s="272"/>
      <c r="BU207" s="272"/>
      <c r="BV207" s="272"/>
      <c r="BW207" s="272"/>
    </row>
    <row r="208" spans="1:75" s="183" customFormat="1">
      <c r="A208" s="324"/>
      <c r="D208" s="271"/>
      <c r="E208" s="271"/>
      <c r="F208" s="271"/>
      <c r="G208" s="283"/>
      <c r="H208" s="283"/>
      <c r="I208" s="283"/>
      <c r="J208" s="271"/>
      <c r="K208" s="271"/>
      <c r="L208" s="271"/>
      <c r="M208" s="271"/>
      <c r="N208" s="271"/>
      <c r="O208" s="271"/>
      <c r="P208" s="323"/>
      <c r="Q208" s="271"/>
      <c r="R208" s="271"/>
      <c r="S208" s="271"/>
      <c r="T208" s="271"/>
      <c r="U208" s="272"/>
      <c r="V208" s="272"/>
      <c r="W208" s="272"/>
      <c r="X208" s="272"/>
      <c r="Y208" s="272"/>
      <c r="Z208" s="272"/>
      <c r="AA208" s="272"/>
      <c r="AB208" s="272"/>
      <c r="AC208" s="272"/>
      <c r="AD208" s="272"/>
      <c r="AE208" s="272"/>
      <c r="AF208" s="272"/>
      <c r="AG208" s="272"/>
      <c r="AH208" s="272"/>
      <c r="AI208" s="272"/>
      <c r="AJ208" s="272"/>
      <c r="AK208" s="272"/>
      <c r="AL208" s="272"/>
      <c r="AM208" s="272"/>
      <c r="AN208" s="272"/>
      <c r="AO208" s="272"/>
      <c r="AP208" s="272"/>
      <c r="AQ208" s="272"/>
      <c r="AR208" s="272"/>
      <c r="AS208" s="272"/>
      <c r="AT208" s="272"/>
      <c r="AU208" s="272"/>
      <c r="AV208" s="272"/>
      <c r="AW208" s="272"/>
      <c r="AX208" s="272"/>
      <c r="AY208" s="272"/>
      <c r="AZ208" s="272"/>
      <c r="BA208" s="272"/>
      <c r="BB208" s="272"/>
      <c r="BC208" s="272"/>
      <c r="BD208" s="272"/>
      <c r="BE208" s="272"/>
      <c r="BF208" s="272"/>
      <c r="BG208" s="272"/>
      <c r="BH208" s="272"/>
      <c r="BI208" s="272"/>
      <c r="BJ208" s="272"/>
      <c r="BK208" s="272"/>
      <c r="BL208" s="272"/>
      <c r="BM208" s="272"/>
      <c r="BN208" s="272"/>
      <c r="BO208" s="272"/>
      <c r="BP208" s="272"/>
      <c r="BQ208" s="272"/>
      <c r="BR208" s="272"/>
      <c r="BS208" s="272"/>
      <c r="BT208" s="272"/>
      <c r="BU208" s="272"/>
      <c r="BV208" s="272"/>
      <c r="BW208" s="272"/>
    </row>
    <row r="209" spans="1:75" s="183" customFormat="1">
      <c r="A209" s="324"/>
      <c r="D209" s="271"/>
      <c r="E209" s="271"/>
      <c r="F209" s="271"/>
      <c r="G209" s="283"/>
      <c r="H209" s="283"/>
      <c r="I209" s="283"/>
      <c r="J209" s="271"/>
      <c r="K209" s="271"/>
      <c r="L209" s="271"/>
      <c r="M209" s="271"/>
      <c r="N209" s="271"/>
      <c r="O209" s="271"/>
      <c r="P209" s="323"/>
      <c r="Q209" s="271"/>
      <c r="R209" s="271"/>
      <c r="S209" s="271"/>
      <c r="T209" s="271"/>
      <c r="U209" s="272"/>
      <c r="V209" s="272"/>
      <c r="W209" s="272"/>
      <c r="X209" s="272"/>
      <c r="Y209" s="272"/>
      <c r="Z209" s="272"/>
      <c r="AA209" s="272"/>
      <c r="AB209" s="272"/>
      <c r="AC209" s="272"/>
      <c r="AD209" s="272"/>
      <c r="AE209" s="272"/>
      <c r="AF209" s="272"/>
      <c r="AG209" s="272"/>
      <c r="AH209" s="272"/>
      <c r="AI209" s="272"/>
      <c r="AJ209" s="272"/>
      <c r="AK209" s="272"/>
      <c r="AL209" s="272"/>
      <c r="AM209" s="272"/>
      <c r="AN209" s="272"/>
      <c r="AO209" s="272"/>
      <c r="AP209" s="272"/>
      <c r="AQ209" s="272"/>
      <c r="AR209" s="272"/>
      <c r="AS209" s="272"/>
      <c r="AT209" s="272"/>
      <c r="AU209" s="272"/>
      <c r="AV209" s="272"/>
      <c r="AW209" s="272"/>
      <c r="AX209" s="272"/>
      <c r="AY209" s="272"/>
      <c r="AZ209" s="272"/>
      <c r="BA209" s="272"/>
      <c r="BB209" s="272"/>
      <c r="BC209" s="272"/>
      <c r="BD209" s="272"/>
      <c r="BE209" s="272"/>
      <c r="BF209" s="272"/>
      <c r="BG209" s="272"/>
      <c r="BH209" s="272"/>
      <c r="BI209" s="272"/>
      <c r="BJ209" s="272"/>
      <c r="BK209" s="272"/>
      <c r="BL209" s="272"/>
      <c r="BM209" s="272"/>
      <c r="BN209" s="272"/>
      <c r="BO209" s="272"/>
      <c r="BP209" s="272"/>
      <c r="BQ209" s="272"/>
      <c r="BR209" s="272"/>
      <c r="BS209" s="272"/>
      <c r="BT209" s="272"/>
      <c r="BU209" s="272"/>
      <c r="BV209" s="272"/>
      <c r="BW209" s="272"/>
    </row>
    <row r="210" spans="1:75" s="183" customFormat="1">
      <c r="A210" s="324"/>
      <c r="D210" s="271"/>
      <c r="E210" s="271"/>
      <c r="F210" s="271"/>
      <c r="G210" s="283"/>
      <c r="H210" s="283"/>
      <c r="I210" s="283"/>
      <c r="J210" s="271"/>
      <c r="K210" s="271"/>
      <c r="L210" s="271"/>
      <c r="M210" s="271"/>
      <c r="N210" s="271"/>
      <c r="O210" s="271"/>
      <c r="P210" s="323"/>
      <c r="Q210" s="271"/>
      <c r="R210" s="271"/>
      <c r="S210" s="271"/>
      <c r="T210" s="271"/>
      <c r="U210" s="272"/>
      <c r="V210" s="272"/>
      <c r="W210" s="272"/>
      <c r="X210" s="272"/>
      <c r="Y210" s="272"/>
      <c r="Z210" s="272"/>
      <c r="AA210" s="272"/>
      <c r="AB210" s="272"/>
      <c r="AC210" s="272"/>
      <c r="AD210" s="272"/>
      <c r="AE210" s="272"/>
      <c r="AF210" s="272"/>
      <c r="AG210" s="272"/>
      <c r="AH210" s="272"/>
      <c r="AI210" s="272"/>
      <c r="AJ210" s="272"/>
      <c r="AK210" s="272"/>
      <c r="AL210" s="272"/>
      <c r="AM210" s="272"/>
      <c r="AN210" s="272"/>
      <c r="AO210" s="272"/>
      <c r="AP210" s="272"/>
      <c r="AQ210" s="272"/>
      <c r="AR210" s="272"/>
      <c r="AS210" s="272"/>
      <c r="AT210" s="272"/>
      <c r="AU210" s="272"/>
      <c r="AV210" s="272"/>
      <c r="AW210" s="272"/>
      <c r="AX210" s="272"/>
      <c r="AY210" s="272"/>
      <c r="AZ210" s="272"/>
      <c r="BA210" s="272"/>
      <c r="BB210" s="272"/>
      <c r="BC210" s="272"/>
      <c r="BD210" s="272"/>
      <c r="BE210" s="272"/>
      <c r="BF210" s="272"/>
      <c r="BG210" s="272"/>
      <c r="BH210" s="272"/>
      <c r="BI210" s="272"/>
      <c r="BJ210" s="272"/>
      <c r="BK210" s="272"/>
      <c r="BL210" s="272"/>
      <c r="BM210" s="272"/>
      <c r="BN210" s="272"/>
      <c r="BO210" s="272"/>
      <c r="BP210" s="272"/>
      <c r="BQ210" s="272"/>
      <c r="BR210" s="272"/>
      <c r="BS210" s="272"/>
      <c r="BT210" s="272"/>
      <c r="BU210" s="272"/>
      <c r="BV210" s="272"/>
      <c r="BW210" s="272"/>
    </row>
    <row r="211" spans="1:75" s="183" customFormat="1">
      <c r="A211" s="324"/>
      <c r="D211" s="271"/>
      <c r="E211" s="271"/>
      <c r="F211" s="271"/>
      <c r="G211" s="283"/>
      <c r="H211" s="283"/>
      <c r="I211" s="283"/>
      <c r="J211" s="271"/>
      <c r="K211" s="271"/>
      <c r="L211" s="271"/>
      <c r="M211" s="271"/>
      <c r="N211" s="271"/>
      <c r="O211" s="271"/>
      <c r="P211" s="323"/>
      <c r="Q211" s="271"/>
      <c r="R211" s="271"/>
      <c r="S211" s="271"/>
      <c r="T211" s="271"/>
      <c r="U211" s="272"/>
      <c r="V211" s="272"/>
      <c r="W211" s="272"/>
      <c r="X211" s="272"/>
      <c r="Y211" s="272"/>
      <c r="Z211" s="272"/>
      <c r="AA211" s="272"/>
      <c r="AB211" s="272"/>
      <c r="AC211" s="272"/>
      <c r="AD211" s="272"/>
      <c r="AE211" s="272"/>
      <c r="AF211" s="272"/>
      <c r="AG211" s="272"/>
      <c r="AH211" s="272"/>
      <c r="AI211" s="272"/>
      <c r="AJ211" s="272"/>
      <c r="AK211" s="272"/>
      <c r="AL211" s="272"/>
      <c r="AM211" s="272"/>
      <c r="AN211" s="272"/>
      <c r="AO211" s="272"/>
      <c r="AP211" s="272"/>
      <c r="AQ211" s="272"/>
      <c r="AR211" s="272"/>
      <c r="AS211" s="272"/>
      <c r="AT211" s="272"/>
      <c r="AU211" s="272"/>
      <c r="AV211" s="272"/>
      <c r="AW211" s="272"/>
      <c r="AX211" s="272"/>
      <c r="AY211" s="272"/>
      <c r="AZ211" s="272"/>
      <c r="BA211" s="272"/>
      <c r="BB211" s="272"/>
      <c r="BC211" s="272"/>
      <c r="BD211" s="272"/>
      <c r="BE211" s="272"/>
      <c r="BF211" s="272"/>
      <c r="BG211" s="272"/>
      <c r="BH211" s="272"/>
      <c r="BI211" s="272"/>
      <c r="BJ211" s="272"/>
      <c r="BK211" s="272"/>
      <c r="BL211" s="272"/>
      <c r="BM211" s="272"/>
      <c r="BN211" s="272"/>
      <c r="BO211" s="272"/>
      <c r="BP211" s="272"/>
      <c r="BQ211" s="272"/>
      <c r="BR211" s="272"/>
      <c r="BS211" s="272"/>
      <c r="BT211" s="272"/>
      <c r="BU211" s="272"/>
      <c r="BV211" s="272"/>
      <c r="BW211" s="272"/>
    </row>
    <row r="212" spans="1:75" s="183" customFormat="1">
      <c r="A212" s="324"/>
      <c r="D212" s="271"/>
      <c r="E212" s="271"/>
      <c r="F212" s="271"/>
      <c r="G212" s="283"/>
      <c r="H212" s="283"/>
      <c r="I212" s="283"/>
      <c r="J212" s="271"/>
      <c r="K212" s="271"/>
      <c r="L212" s="271"/>
      <c r="M212" s="271"/>
      <c r="N212" s="271"/>
      <c r="O212" s="271"/>
      <c r="P212" s="323"/>
      <c r="Q212" s="271"/>
      <c r="R212" s="271"/>
      <c r="S212" s="271"/>
      <c r="T212" s="271"/>
      <c r="U212" s="272"/>
      <c r="V212" s="272"/>
      <c r="W212" s="272"/>
      <c r="X212" s="272"/>
      <c r="Y212" s="272"/>
      <c r="Z212" s="272"/>
      <c r="AA212" s="272"/>
      <c r="AB212" s="272"/>
      <c r="AC212" s="272"/>
      <c r="AD212" s="272"/>
      <c r="AE212" s="272"/>
      <c r="AF212" s="272"/>
      <c r="AG212" s="272"/>
      <c r="AH212" s="272"/>
      <c r="AI212" s="272"/>
      <c r="AJ212" s="272"/>
      <c r="AK212" s="272"/>
      <c r="AL212" s="272"/>
      <c r="AM212" s="272"/>
      <c r="AN212" s="272"/>
      <c r="AO212" s="272"/>
      <c r="AP212" s="272"/>
      <c r="AQ212" s="272"/>
      <c r="AR212" s="272"/>
      <c r="AS212" s="272"/>
      <c r="AT212" s="272"/>
      <c r="AU212" s="272"/>
      <c r="AV212" s="272"/>
      <c r="AW212" s="272"/>
      <c r="AX212" s="272"/>
      <c r="AY212" s="272"/>
      <c r="AZ212" s="272"/>
      <c r="BA212" s="272"/>
      <c r="BB212" s="272"/>
      <c r="BC212" s="272"/>
      <c r="BD212" s="272"/>
      <c r="BE212" s="272"/>
      <c r="BF212" s="272"/>
      <c r="BG212" s="272"/>
      <c r="BH212" s="272"/>
      <c r="BI212" s="272"/>
      <c r="BJ212" s="272"/>
      <c r="BK212" s="272"/>
      <c r="BL212" s="272"/>
      <c r="BM212" s="272"/>
      <c r="BN212" s="272"/>
      <c r="BO212" s="272"/>
      <c r="BP212" s="272"/>
      <c r="BQ212" s="272"/>
      <c r="BR212" s="272"/>
      <c r="BS212" s="272"/>
      <c r="BT212" s="272"/>
      <c r="BU212" s="272"/>
      <c r="BV212" s="272"/>
      <c r="BW212" s="272"/>
    </row>
    <row r="213" spans="1:75" s="183" customFormat="1">
      <c r="A213" s="324"/>
      <c r="D213" s="271"/>
      <c r="E213" s="271"/>
      <c r="F213" s="271"/>
      <c r="G213" s="283"/>
      <c r="H213" s="283"/>
      <c r="I213" s="283"/>
      <c r="J213" s="271"/>
      <c r="K213" s="271"/>
      <c r="L213" s="271"/>
      <c r="M213" s="271"/>
      <c r="N213" s="271"/>
      <c r="O213" s="271"/>
      <c r="P213" s="323"/>
      <c r="Q213" s="271"/>
      <c r="R213" s="271"/>
      <c r="S213" s="271"/>
      <c r="T213" s="271"/>
      <c r="U213" s="272"/>
      <c r="V213" s="272"/>
      <c r="W213" s="272"/>
      <c r="X213" s="272"/>
      <c r="Y213" s="272"/>
      <c r="Z213" s="272"/>
      <c r="AA213" s="272"/>
      <c r="AB213" s="272"/>
      <c r="AC213" s="272"/>
      <c r="AD213" s="272"/>
      <c r="AE213" s="272"/>
      <c r="AF213" s="272"/>
      <c r="AG213" s="272"/>
      <c r="AH213" s="272"/>
      <c r="AI213" s="272"/>
      <c r="AJ213" s="272"/>
      <c r="AK213" s="272"/>
      <c r="AL213" s="272"/>
      <c r="AM213" s="272"/>
      <c r="AN213" s="272"/>
      <c r="AO213" s="272"/>
      <c r="AP213" s="272"/>
      <c r="AQ213" s="272"/>
      <c r="AR213" s="272"/>
      <c r="AS213" s="272"/>
      <c r="AT213" s="272"/>
      <c r="AU213" s="272"/>
      <c r="AV213" s="272"/>
      <c r="AW213" s="272"/>
      <c r="AX213" s="272"/>
      <c r="AY213" s="272"/>
      <c r="AZ213" s="272"/>
      <c r="BA213" s="272"/>
      <c r="BB213" s="272"/>
      <c r="BC213" s="272"/>
      <c r="BD213" s="272"/>
      <c r="BE213" s="272"/>
      <c r="BF213" s="272"/>
      <c r="BG213" s="272"/>
      <c r="BH213" s="272"/>
      <c r="BI213" s="272"/>
      <c r="BJ213" s="272"/>
      <c r="BK213" s="272"/>
      <c r="BL213" s="272"/>
      <c r="BM213" s="272"/>
      <c r="BN213" s="272"/>
      <c r="BO213" s="272"/>
      <c r="BP213" s="272"/>
      <c r="BQ213" s="272"/>
      <c r="BR213" s="272"/>
      <c r="BS213" s="272"/>
      <c r="BT213" s="272"/>
      <c r="BU213" s="272"/>
      <c r="BV213" s="272"/>
      <c r="BW213" s="272"/>
    </row>
    <row r="214" spans="1:75" s="183" customFormat="1">
      <c r="A214" s="324"/>
      <c r="D214" s="271"/>
      <c r="E214" s="271"/>
      <c r="F214" s="271"/>
      <c r="G214" s="283"/>
      <c r="H214" s="283"/>
      <c r="I214" s="283"/>
      <c r="J214" s="271"/>
      <c r="K214" s="271"/>
      <c r="L214" s="271"/>
      <c r="M214" s="271"/>
      <c r="N214" s="271"/>
      <c r="O214" s="271"/>
      <c r="P214" s="323"/>
      <c r="Q214" s="271"/>
      <c r="R214" s="271"/>
      <c r="S214" s="271"/>
      <c r="T214" s="271"/>
      <c r="U214" s="272"/>
      <c r="V214" s="272"/>
      <c r="W214" s="272"/>
      <c r="X214" s="272"/>
      <c r="Y214" s="272"/>
      <c r="Z214" s="272"/>
      <c r="AA214" s="272"/>
      <c r="AB214" s="272"/>
      <c r="AC214" s="272"/>
      <c r="AD214" s="272"/>
      <c r="AE214" s="272"/>
      <c r="AF214" s="272"/>
      <c r="AG214" s="272"/>
      <c r="AH214" s="272"/>
      <c r="AI214" s="272"/>
      <c r="AJ214" s="272"/>
      <c r="AK214" s="272"/>
      <c r="AL214" s="272"/>
      <c r="AM214" s="272"/>
      <c r="AN214" s="272"/>
      <c r="AO214" s="272"/>
      <c r="AP214" s="272"/>
      <c r="AQ214" s="272"/>
      <c r="AR214" s="272"/>
      <c r="AS214" s="272"/>
      <c r="AT214" s="272"/>
      <c r="AU214" s="272"/>
      <c r="AV214" s="272"/>
      <c r="AW214" s="272"/>
      <c r="AX214" s="272"/>
      <c r="AY214" s="272"/>
      <c r="AZ214" s="272"/>
      <c r="BA214" s="272"/>
      <c r="BB214" s="272"/>
      <c r="BC214" s="272"/>
      <c r="BD214" s="272"/>
      <c r="BE214" s="272"/>
      <c r="BF214" s="272"/>
      <c r="BG214" s="272"/>
      <c r="BH214" s="272"/>
      <c r="BI214" s="272"/>
      <c r="BJ214" s="272"/>
      <c r="BK214" s="272"/>
      <c r="BL214" s="272"/>
      <c r="BM214" s="272"/>
      <c r="BN214" s="272"/>
      <c r="BO214" s="272"/>
      <c r="BP214" s="272"/>
      <c r="BQ214" s="272"/>
      <c r="BR214" s="272"/>
      <c r="BS214" s="272"/>
      <c r="BT214" s="272"/>
      <c r="BU214" s="272"/>
      <c r="BV214" s="272"/>
      <c r="BW214" s="272"/>
    </row>
    <row r="215" spans="1:75" s="183" customFormat="1">
      <c r="A215" s="324"/>
      <c r="D215" s="271"/>
      <c r="E215" s="271"/>
      <c r="F215" s="271"/>
      <c r="G215" s="283"/>
      <c r="H215" s="283"/>
      <c r="I215" s="283"/>
      <c r="J215" s="271"/>
      <c r="K215" s="271"/>
      <c r="L215" s="271"/>
      <c r="M215" s="271"/>
      <c r="N215" s="271"/>
      <c r="O215" s="271"/>
      <c r="P215" s="323"/>
      <c r="Q215" s="271"/>
      <c r="R215" s="271"/>
      <c r="S215" s="271"/>
      <c r="T215" s="271"/>
      <c r="U215" s="272"/>
      <c r="V215" s="272"/>
      <c r="W215" s="272"/>
      <c r="X215" s="272"/>
      <c r="Y215" s="272"/>
      <c r="Z215" s="272"/>
      <c r="AA215" s="272"/>
      <c r="AB215" s="272"/>
      <c r="AC215" s="272"/>
      <c r="AD215" s="272"/>
      <c r="AE215" s="272"/>
      <c r="AF215" s="272"/>
      <c r="AG215" s="272"/>
      <c r="AH215" s="272"/>
      <c r="AI215" s="272"/>
      <c r="AJ215" s="272"/>
      <c r="AK215" s="272"/>
      <c r="AL215" s="272"/>
      <c r="AM215" s="272"/>
      <c r="AN215" s="272"/>
      <c r="AO215" s="272"/>
      <c r="AP215" s="272"/>
      <c r="AQ215" s="272"/>
      <c r="AR215" s="272"/>
      <c r="AS215" s="272"/>
      <c r="AT215" s="272"/>
      <c r="AU215" s="272"/>
      <c r="AV215" s="272"/>
      <c r="AW215" s="272"/>
      <c r="AX215" s="272"/>
      <c r="AY215" s="272"/>
      <c r="AZ215" s="272"/>
      <c r="BA215" s="272"/>
      <c r="BB215" s="272"/>
      <c r="BC215" s="272"/>
      <c r="BD215" s="272"/>
      <c r="BE215" s="272"/>
      <c r="BF215" s="272"/>
      <c r="BG215" s="272"/>
      <c r="BH215" s="272"/>
      <c r="BI215" s="272"/>
      <c r="BJ215" s="272"/>
      <c r="BK215" s="272"/>
      <c r="BL215" s="272"/>
      <c r="BM215" s="272"/>
      <c r="BN215" s="272"/>
      <c r="BO215" s="272"/>
      <c r="BP215" s="272"/>
      <c r="BQ215" s="272"/>
      <c r="BR215" s="272"/>
      <c r="BS215" s="272"/>
      <c r="BT215" s="272"/>
      <c r="BU215" s="272"/>
      <c r="BV215" s="272"/>
      <c r="BW215" s="272"/>
    </row>
    <row r="216" spans="1:75" s="183" customFormat="1">
      <c r="A216" s="324"/>
      <c r="D216" s="271"/>
      <c r="E216" s="271"/>
      <c r="F216" s="271"/>
      <c r="G216" s="283"/>
      <c r="H216" s="283"/>
      <c r="I216" s="283"/>
      <c r="J216" s="271"/>
      <c r="K216" s="271"/>
      <c r="L216" s="271"/>
      <c r="M216" s="271"/>
      <c r="N216" s="271"/>
      <c r="O216" s="271"/>
      <c r="P216" s="323"/>
      <c r="Q216" s="271"/>
      <c r="R216" s="271"/>
      <c r="S216" s="271"/>
      <c r="T216" s="271"/>
      <c r="U216" s="272"/>
      <c r="V216" s="272"/>
      <c r="W216" s="272"/>
      <c r="X216" s="272"/>
      <c r="Y216" s="272"/>
      <c r="Z216" s="272"/>
      <c r="AA216" s="272"/>
      <c r="AB216" s="272"/>
      <c r="AC216" s="272"/>
      <c r="AD216" s="272"/>
      <c r="AE216" s="272"/>
      <c r="AF216" s="272"/>
      <c r="AG216" s="272"/>
      <c r="AH216" s="272"/>
      <c r="AI216" s="272"/>
      <c r="AJ216" s="272"/>
      <c r="AK216" s="272"/>
      <c r="AL216" s="272"/>
      <c r="AM216" s="272"/>
      <c r="AN216" s="272"/>
      <c r="AO216" s="272"/>
      <c r="AP216" s="272"/>
      <c r="AQ216" s="272"/>
      <c r="AR216" s="272"/>
      <c r="AS216" s="272"/>
      <c r="AT216" s="272"/>
      <c r="AU216" s="272"/>
      <c r="AV216" s="272"/>
      <c r="AW216" s="272"/>
      <c r="AX216" s="272"/>
      <c r="AY216" s="272"/>
      <c r="AZ216" s="272"/>
      <c r="BA216" s="272"/>
      <c r="BB216" s="272"/>
      <c r="BC216" s="272"/>
      <c r="BD216" s="272"/>
      <c r="BE216" s="272"/>
      <c r="BF216" s="272"/>
      <c r="BG216" s="272"/>
      <c r="BH216" s="272"/>
      <c r="BI216" s="272"/>
      <c r="BJ216" s="272"/>
      <c r="BK216" s="272"/>
      <c r="BL216" s="272"/>
      <c r="BM216" s="272"/>
      <c r="BN216" s="272"/>
      <c r="BO216" s="272"/>
      <c r="BP216" s="272"/>
      <c r="BQ216" s="272"/>
      <c r="BR216" s="272"/>
      <c r="BS216" s="272"/>
      <c r="BT216" s="272"/>
      <c r="BU216" s="272"/>
      <c r="BV216" s="272"/>
      <c r="BW216" s="272"/>
    </row>
    <row r="217" spans="1:75" s="183" customFormat="1">
      <c r="A217" s="324"/>
      <c r="D217" s="271"/>
      <c r="E217" s="271"/>
      <c r="F217" s="271"/>
      <c r="G217" s="283"/>
      <c r="H217" s="283"/>
      <c r="I217" s="283"/>
      <c r="J217" s="271"/>
      <c r="K217" s="271"/>
      <c r="L217" s="271"/>
      <c r="M217" s="271"/>
      <c r="N217" s="271"/>
      <c r="O217" s="271"/>
      <c r="P217" s="323"/>
      <c r="Q217" s="271"/>
      <c r="R217" s="271"/>
      <c r="S217" s="271"/>
      <c r="T217" s="271"/>
      <c r="U217" s="272"/>
      <c r="V217" s="272"/>
      <c r="W217" s="272"/>
      <c r="X217" s="272"/>
      <c r="Y217" s="272"/>
      <c r="Z217" s="272"/>
      <c r="AA217" s="272"/>
      <c r="AB217" s="272"/>
      <c r="AC217" s="272"/>
      <c r="AD217" s="272"/>
      <c r="AE217" s="272"/>
      <c r="AF217" s="272"/>
      <c r="AG217" s="272"/>
      <c r="AH217" s="272"/>
      <c r="AI217" s="272"/>
      <c r="AJ217" s="272"/>
      <c r="AK217" s="272"/>
      <c r="AL217" s="272"/>
      <c r="AM217" s="272"/>
      <c r="AN217" s="272"/>
      <c r="AO217" s="272"/>
      <c r="AP217" s="272"/>
      <c r="AQ217" s="272"/>
      <c r="AR217" s="272"/>
      <c r="AS217" s="272"/>
      <c r="AT217" s="272"/>
      <c r="AU217" s="272"/>
      <c r="AV217" s="272"/>
      <c r="AW217" s="272"/>
      <c r="AX217" s="272"/>
      <c r="AY217" s="272"/>
      <c r="AZ217" s="272"/>
      <c r="BA217" s="272"/>
      <c r="BB217" s="272"/>
      <c r="BC217" s="272"/>
      <c r="BD217" s="272"/>
      <c r="BE217" s="272"/>
      <c r="BF217" s="272"/>
      <c r="BG217" s="272"/>
      <c r="BH217" s="272"/>
      <c r="BI217" s="272"/>
      <c r="BJ217" s="272"/>
      <c r="BK217" s="272"/>
      <c r="BL217" s="272"/>
      <c r="BM217" s="272"/>
      <c r="BN217" s="272"/>
      <c r="BO217" s="272"/>
      <c r="BP217" s="272"/>
      <c r="BQ217" s="272"/>
      <c r="BR217" s="272"/>
      <c r="BS217" s="272"/>
      <c r="BT217" s="272"/>
      <c r="BU217" s="272"/>
      <c r="BV217" s="272"/>
      <c r="BW217" s="272"/>
    </row>
    <row r="218" spans="1:75" s="183" customFormat="1">
      <c r="A218" s="324"/>
      <c r="D218" s="271"/>
      <c r="E218" s="271"/>
      <c r="F218" s="271"/>
      <c r="G218" s="283"/>
      <c r="H218" s="283"/>
      <c r="I218" s="283"/>
      <c r="J218" s="271"/>
      <c r="K218" s="271"/>
      <c r="L218" s="271"/>
      <c r="M218" s="271"/>
      <c r="N218" s="271"/>
      <c r="O218" s="271"/>
      <c r="P218" s="323"/>
      <c r="Q218" s="271"/>
      <c r="R218" s="271"/>
      <c r="S218" s="271"/>
      <c r="T218" s="271"/>
      <c r="U218" s="272"/>
      <c r="V218" s="272"/>
      <c r="W218" s="272"/>
      <c r="X218" s="272"/>
      <c r="Y218" s="272"/>
      <c r="Z218" s="272"/>
      <c r="AA218" s="272"/>
      <c r="AB218" s="272"/>
      <c r="AC218" s="272"/>
      <c r="AD218" s="272"/>
      <c r="AE218" s="272"/>
      <c r="AF218" s="272"/>
      <c r="AG218" s="272"/>
      <c r="AH218" s="272"/>
      <c r="AI218" s="272"/>
      <c r="AJ218" s="272"/>
      <c r="AK218" s="272"/>
      <c r="AL218" s="272"/>
      <c r="AM218" s="272"/>
      <c r="AN218" s="272"/>
      <c r="AO218" s="272"/>
      <c r="AP218" s="272"/>
      <c r="AQ218" s="272"/>
      <c r="AR218" s="272"/>
      <c r="AS218" s="272"/>
      <c r="AT218" s="272"/>
      <c r="AU218" s="272"/>
      <c r="AV218" s="272"/>
      <c r="AW218" s="272"/>
      <c r="AX218" s="272"/>
      <c r="AY218" s="272"/>
      <c r="AZ218" s="272"/>
      <c r="BA218" s="272"/>
      <c r="BB218" s="272"/>
      <c r="BC218" s="272"/>
      <c r="BD218" s="272"/>
      <c r="BE218" s="272"/>
      <c r="BF218" s="272"/>
      <c r="BG218" s="272"/>
      <c r="BH218" s="272"/>
      <c r="BI218" s="272"/>
      <c r="BJ218" s="272"/>
      <c r="BK218" s="272"/>
      <c r="BL218" s="272"/>
      <c r="BM218" s="272"/>
      <c r="BN218" s="272"/>
      <c r="BO218" s="272"/>
      <c r="BP218" s="272"/>
      <c r="BQ218" s="272"/>
      <c r="BR218" s="272"/>
      <c r="BS218" s="272"/>
      <c r="BT218" s="272"/>
      <c r="BU218" s="272"/>
      <c r="BV218" s="272"/>
      <c r="BW218" s="272"/>
    </row>
    <row r="219" spans="1:75" s="183" customFormat="1">
      <c r="A219" s="324"/>
      <c r="D219" s="271"/>
      <c r="E219" s="271"/>
      <c r="F219" s="271"/>
      <c r="G219" s="283"/>
      <c r="H219" s="283"/>
      <c r="I219" s="283"/>
      <c r="J219" s="271"/>
      <c r="K219" s="271"/>
      <c r="L219" s="271"/>
      <c r="M219" s="271"/>
      <c r="N219" s="271"/>
      <c r="O219" s="271"/>
      <c r="P219" s="323"/>
      <c r="Q219" s="271"/>
      <c r="R219" s="271"/>
      <c r="S219" s="271"/>
      <c r="T219" s="271"/>
      <c r="U219" s="272"/>
      <c r="V219" s="272"/>
      <c r="W219" s="272"/>
      <c r="X219" s="272"/>
      <c r="Y219" s="272"/>
      <c r="Z219" s="272"/>
      <c r="AA219" s="272"/>
      <c r="AB219" s="272"/>
      <c r="AC219" s="272"/>
      <c r="AD219" s="272"/>
      <c r="AE219" s="272"/>
      <c r="AF219" s="272"/>
      <c r="AG219" s="272"/>
      <c r="AH219" s="272"/>
      <c r="AI219" s="272"/>
      <c r="AJ219" s="272"/>
      <c r="AK219" s="272"/>
      <c r="AL219" s="272"/>
      <c r="AM219" s="272"/>
      <c r="AN219" s="272"/>
      <c r="AO219" s="272"/>
      <c r="AP219" s="272"/>
      <c r="AQ219" s="272"/>
      <c r="AR219" s="272"/>
      <c r="AS219" s="272"/>
      <c r="AT219" s="272"/>
      <c r="AU219" s="272"/>
      <c r="AV219" s="272"/>
      <c r="AW219" s="272"/>
      <c r="AX219" s="272"/>
      <c r="AY219" s="272"/>
      <c r="AZ219" s="272"/>
      <c r="BA219" s="272"/>
      <c r="BB219" s="272"/>
      <c r="BC219" s="272"/>
      <c r="BD219" s="272"/>
      <c r="BE219" s="272"/>
      <c r="BF219" s="272"/>
      <c r="BG219" s="272"/>
      <c r="BH219" s="272"/>
      <c r="BI219" s="272"/>
      <c r="BJ219" s="272"/>
      <c r="BK219" s="272"/>
      <c r="BL219" s="272"/>
      <c r="BM219" s="272"/>
      <c r="BN219" s="272"/>
      <c r="BO219" s="272"/>
      <c r="BP219" s="272"/>
      <c r="BQ219" s="272"/>
      <c r="BR219" s="272"/>
      <c r="BS219" s="272"/>
      <c r="BT219" s="272"/>
      <c r="BU219" s="272"/>
      <c r="BV219" s="272"/>
      <c r="BW219" s="272"/>
    </row>
    <row r="220" spans="1:75" s="183" customFormat="1">
      <c r="A220" s="324"/>
      <c r="D220" s="271"/>
      <c r="E220" s="271"/>
      <c r="F220" s="271"/>
      <c r="G220" s="283"/>
      <c r="H220" s="283"/>
      <c r="I220" s="283"/>
      <c r="J220" s="271"/>
      <c r="K220" s="271"/>
      <c r="L220" s="271"/>
      <c r="M220" s="271"/>
      <c r="N220" s="271"/>
      <c r="O220" s="271"/>
      <c r="P220" s="323"/>
      <c r="Q220" s="271"/>
      <c r="R220" s="271"/>
      <c r="S220" s="271"/>
      <c r="T220" s="271"/>
      <c r="U220" s="272"/>
      <c r="V220" s="272"/>
      <c r="W220" s="272"/>
      <c r="X220" s="272"/>
      <c r="Y220" s="272"/>
      <c r="Z220" s="272"/>
      <c r="AA220" s="272"/>
      <c r="AB220" s="272"/>
      <c r="AC220" s="272"/>
      <c r="AD220" s="272"/>
      <c r="AE220" s="272"/>
      <c r="AF220" s="272"/>
      <c r="AG220" s="272"/>
      <c r="AH220" s="272"/>
      <c r="AI220" s="272"/>
      <c r="AJ220" s="272"/>
      <c r="AK220" s="272"/>
      <c r="AL220" s="272"/>
      <c r="AM220" s="272"/>
      <c r="AN220" s="272"/>
      <c r="AO220" s="272"/>
      <c r="AP220" s="272"/>
      <c r="AQ220" s="272"/>
      <c r="AR220" s="272"/>
      <c r="AS220" s="272"/>
      <c r="AT220" s="272"/>
      <c r="AU220" s="272"/>
      <c r="AV220" s="272"/>
      <c r="AW220" s="272"/>
      <c r="AX220" s="272"/>
      <c r="AY220" s="272"/>
      <c r="AZ220" s="272"/>
      <c r="BA220" s="272"/>
      <c r="BB220" s="272"/>
      <c r="BC220" s="272"/>
      <c r="BD220" s="272"/>
      <c r="BE220" s="272"/>
      <c r="BF220" s="272"/>
      <c r="BG220" s="272"/>
      <c r="BH220" s="272"/>
      <c r="BI220" s="272"/>
      <c r="BJ220" s="272"/>
      <c r="BK220" s="272"/>
      <c r="BL220" s="272"/>
      <c r="BM220" s="272"/>
      <c r="BN220" s="272"/>
      <c r="BO220" s="272"/>
      <c r="BP220" s="272"/>
      <c r="BQ220" s="272"/>
      <c r="BR220" s="272"/>
      <c r="BS220" s="272"/>
      <c r="BT220" s="272"/>
      <c r="BU220" s="272"/>
      <c r="BV220" s="272"/>
      <c r="BW220" s="272"/>
    </row>
    <row r="221" spans="1:75" s="183" customFormat="1">
      <c r="A221" s="324"/>
      <c r="D221" s="271"/>
      <c r="E221" s="271"/>
      <c r="F221" s="271"/>
      <c r="G221" s="283"/>
      <c r="H221" s="283"/>
      <c r="I221" s="283"/>
      <c r="J221" s="271"/>
      <c r="K221" s="271"/>
      <c r="L221" s="271"/>
      <c r="M221" s="271"/>
      <c r="N221" s="271"/>
      <c r="O221" s="271"/>
      <c r="P221" s="323"/>
      <c r="Q221" s="271"/>
      <c r="R221" s="271"/>
      <c r="S221" s="271"/>
      <c r="T221" s="271"/>
      <c r="U221" s="272"/>
      <c r="V221" s="272"/>
      <c r="W221" s="272"/>
      <c r="X221" s="272"/>
      <c r="Y221" s="272"/>
      <c r="Z221" s="272"/>
      <c r="AA221" s="272"/>
      <c r="AB221" s="272"/>
      <c r="AC221" s="272"/>
      <c r="AD221" s="272"/>
      <c r="AE221" s="272"/>
      <c r="AF221" s="272"/>
      <c r="AG221" s="272"/>
      <c r="AH221" s="272"/>
      <c r="AI221" s="272"/>
      <c r="AJ221" s="272"/>
      <c r="AK221" s="272"/>
      <c r="AL221" s="272"/>
      <c r="AM221" s="272"/>
      <c r="AN221" s="272"/>
      <c r="AO221" s="272"/>
      <c r="AP221" s="272"/>
      <c r="AQ221" s="272"/>
      <c r="AR221" s="272"/>
      <c r="AS221" s="272"/>
      <c r="AT221" s="272"/>
      <c r="AU221" s="272"/>
      <c r="AV221" s="272"/>
      <c r="AW221" s="272"/>
      <c r="AX221" s="272"/>
      <c r="AY221" s="272"/>
      <c r="AZ221" s="272"/>
      <c r="BA221" s="272"/>
      <c r="BB221" s="272"/>
      <c r="BC221" s="272"/>
      <c r="BD221" s="272"/>
      <c r="BE221" s="272"/>
      <c r="BF221" s="272"/>
      <c r="BG221" s="272"/>
      <c r="BH221" s="272"/>
      <c r="BI221" s="272"/>
      <c r="BJ221" s="272"/>
      <c r="BK221" s="272"/>
      <c r="BL221" s="272"/>
      <c r="BM221" s="272"/>
      <c r="BN221" s="272"/>
      <c r="BO221" s="272"/>
      <c r="BP221" s="272"/>
      <c r="BQ221" s="272"/>
      <c r="BR221" s="272"/>
      <c r="BS221" s="272"/>
      <c r="BT221" s="272"/>
      <c r="BU221" s="272"/>
      <c r="BV221" s="272"/>
      <c r="BW221" s="272"/>
    </row>
    <row r="222" spans="1:75" s="183" customFormat="1">
      <c r="A222" s="324"/>
      <c r="D222" s="271"/>
      <c r="E222" s="271"/>
      <c r="F222" s="271"/>
      <c r="G222" s="283"/>
      <c r="H222" s="283"/>
      <c r="I222" s="283"/>
      <c r="J222" s="271"/>
      <c r="K222" s="271"/>
      <c r="L222" s="271"/>
      <c r="M222" s="271"/>
      <c r="N222" s="271"/>
      <c r="O222" s="271"/>
      <c r="P222" s="323"/>
      <c r="Q222" s="271"/>
      <c r="R222" s="271"/>
      <c r="S222" s="271"/>
      <c r="T222" s="271"/>
      <c r="U222" s="272"/>
      <c r="V222" s="272"/>
      <c r="W222" s="272"/>
      <c r="X222" s="272"/>
      <c r="Y222" s="272"/>
      <c r="Z222" s="272"/>
      <c r="AA222" s="272"/>
      <c r="AB222" s="272"/>
      <c r="AC222" s="272"/>
      <c r="AD222" s="272"/>
      <c r="AE222" s="272"/>
      <c r="AF222" s="272"/>
      <c r="AG222" s="272"/>
      <c r="AH222" s="272"/>
      <c r="AI222" s="272"/>
      <c r="AJ222" s="272"/>
      <c r="AK222" s="272"/>
      <c r="AL222" s="272"/>
      <c r="AM222" s="272"/>
      <c r="AN222" s="272"/>
      <c r="AO222" s="272"/>
      <c r="AP222" s="272"/>
      <c r="AQ222" s="272"/>
      <c r="AR222" s="272"/>
      <c r="AS222" s="272"/>
      <c r="AT222" s="272"/>
      <c r="AU222" s="272"/>
      <c r="AV222" s="272"/>
      <c r="AW222" s="272"/>
      <c r="AX222" s="272"/>
      <c r="AY222" s="272"/>
      <c r="AZ222" s="272"/>
      <c r="BA222" s="272"/>
      <c r="BB222" s="272"/>
      <c r="BC222" s="272"/>
      <c r="BD222" s="272"/>
      <c r="BE222" s="272"/>
      <c r="BF222" s="272"/>
      <c r="BG222" s="272"/>
      <c r="BH222" s="272"/>
      <c r="BI222" s="272"/>
      <c r="BJ222" s="272"/>
      <c r="BK222" s="272"/>
      <c r="BL222" s="272"/>
      <c r="BM222" s="272"/>
      <c r="BN222" s="272"/>
      <c r="BO222" s="272"/>
      <c r="BP222" s="272"/>
      <c r="BQ222" s="272"/>
      <c r="BR222" s="272"/>
      <c r="BS222" s="272"/>
      <c r="BT222" s="272"/>
      <c r="BU222" s="272"/>
      <c r="BV222" s="272"/>
      <c r="BW222" s="272"/>
    </row>
    <row r="223" spans="1:75" s="183" customFormat="1">
      <c r="A223" s="324"/>
      <c r="D223" s="271"/>
      <c r="E223" s="271"/>
      <c r="F223" s="271"/>
      <c r="G223" s="283"/>
      <c r="H223" s="283"/>
      <c r="I223" s="283"/>
      <c r="J223" s="271"/>
      <c r="K223" s="271"/>
      <c r="L223" s="271"/>
      <c r="M223" s="271"/>
      <c r="N223" s="271"/>
      <c r="O223" s="271"/>
      <c r="P223" s="323"/>
      <c r="Q223" s="271"/>
      <c r="R223" s="271"/>
      <c r="S223" s="271"/>
      <c r="T223" s="271"/>
      <c r="U223" s="272"/>
      <c r="V223" s="272"/>
      <c r="W223" s="272"/>
      <c r="X223" s="272"/>
      <c r="Y223" s="272"/>
      <c r="Z223" s="272"/>
      <c r="AA223" s="272"/>
      <c r="AB223" s="272"/>
      <c r="AC223" s="272"/>
      <c r="AD223" s="272"/>
      <c r="AE223" s="272"/>
      <c r="AF223" s="272"/>
      <c r="AG223" s="272"/>
      <c r="AH223" s="272"/>
      <c r="AI223" s="272"/>
      <c r="AJ223" s="272"/>
      <c r="AK223" s="272"/>
      <c r="AL223" s="272"/>
      <c r="AM223" s="272"/>
      <c r="AN223" s="272"/>
      <c r="AO223" s="272"/>
      <c r="AP223" s="272"/>
      <c r="AQ223" s="272"/>
      <c r="AR223" s="272"/>
      <c r="AS223" s="272"/>
      <c r="AT223" s="272"/>
      <c r="AU223" s="272"/>
      <c r="AV223" s="272"/>
      <c r="AW223" s="272"/>
      <c r="AX223" s="272"/>
      <c r="AY223" s="272"/>
      <c r="AZ223" s="272"/>
      <c r="BA223" s="272"/>
      <c r="BB223" s="272"/>
      <c r="BC223" s="272"/>
      <c r="BD223" s="272"/>
      <c r="BE223" s="272"/>
      <c r="BF223" s="272"/>
      <c r="BG223" s="272"/>
      <c r="BH223" s="272"/>
      <c r="BI223" s="272"/>
      <c r="BJ223" s="272"/>
      <c r="BK223" s="272"/>
      <c r="BL223" s="272"/>
      <c r="BM223" s="272"/>
      <c r="BN223" s="272"/>
      <c r="BO223" s="272"/>
      <c r="BP223" s="272"/>
      <c r="BQ223" s="272"/>
      <c r="BR223" s="272"/>
      <c r="BS223" s="272"/>
      <c r="BT223" s="272"/>
      <c r="BU223" s="272"/>
      <c r="BV223" s="272"/>
      <c r="BW223" s="272"/>
    </row>
    <row r="224" spans="1:75" s="183" customFormat="1">
      <c r="A224" s="324"/>
      <c r="D224" s="271"/>
      <c r="E224" s="271"/>
      <c r="F224" s="271"/>
      <c r="G224" s="283"/>
      <c r="H224" s="283"/>
      <c r="I224" s="283"/>
      <c r="J224" s="271"/>
      <c r="K224" s="271"/>
      <c r="L224" s="271"/>
      <c r="M224" s="271"/>
      <c r="N224" s="271"/>
      <c r="O224" s="271"/>
      <c r="P224" s="323"/>
      <c r="Q224" s="271"/>
      <c r="R224" s="271"/>
      <c r="S224" s="271"/>
      <c r="T224" s="271"/>
      <c r="U224" s="272"/>
      <c r="V224" s="272"/>
      <c r="W224" s="272"/>
      <c r="X224" s="272"/>
      <c r="Y224" s="272"/>
      <c r="Z224" s="272"/>
      <c r="AA224" s="272"/>
      <c r="AB224" s="272"/>
      <c r="AC224" s="272"/>
      <c r="AD224" s="272"/>
      <c r="AE224" s="272"/>
      <c r="AF224" s="272"/>
      <c r="AG224" s="272"/>
      <c r="AH224" s="272"/>
      <c r="AI224" s="272"/>
      <c r="AJ224" s="272"/>
      <c r="AK224" s="272"/>
      <c r="AL224" s="272"/>
      <c r="AM224" s="272"/>
      <c r="AN224" s="272"/>
      <c r="AO224" s="272"/>
      <c r="AP224" s="272"/>
      <c r="AQ224" s="272"/>
      <c r="AR224" s="272"/>
      <c r="AS224" s="272"/>
      <c r="AT224" s="272"/>
      <c r="AU224" s="272"/>
      <c r="AV224" s="272"/>
      <c r="AW224" s="272"/>
      <c r="AX224" s="272"/>
      <c r="AY224" s="272"/>
      <c r="AZ224" s="272"/>
      <c r="BA224" s="272"/>
      <c r="BB224" s="272"/>
      <c r="BC224" s="272"/>
      <c r="BD224" s="272"/>
      <c r="BE224" s="272"/>
      <c r="BF224" s="272"/>
      <c r="BG224" s="272"/>
      <c r="BH224" s="272"/>
      <c r="BI224" s="272"/>
      <c r="BJ224" s="272"/>
      <c r="BK224" s="272"/>
      <c r="BL224" s="272"/>
      <c r="BM224" s="272"/>
      <c r="BN224" s="272"/>
      <c r="BO224" s="272"/>
      <c r="BP224" s="272"/>
      <c r="BQ224" s="272"/>
      <c r="BR224" s="272"/>
      <c r="BS224" s="272"/>
      <c r="BT224" s="272"/>
      <c r="BU224" s="272"/>
      <c r="BV224" s="272"/>
      <c r="BW224" s="272"/>
    </row>
    <row r="225" spans="1:75" s="183" customFormat="1">
      <c r="A225" s="324"/>
      <c r="D225" s="271"/>
      <c r="E225" s="271"/>
      <c r="F225" s="271"/>
      <c r="G225" s="283"/>
      <c r="H225" s="283"/>
      <c r="I225" s="283"/>
      <c r="J225" s="271"/>
      <c r="K225" s="271"/>
      <c r="L225" s="271"/>
      <c r="M225" s="271"/>
      <c r="N225" s="271"/>
      <c r="O225" s="271"/>
      <c r="P225" s="323"/>
      <c r="Q225" s="271"/>
      <c r="R225" s="271"/>
      <c r="S225" s="271"/>
      <c r="T225" s="271"/>
      <c r="U225" s="272"/>
      <c r="V225" s="272"/>
      <c r="W225" s="272"/>
      <c r="X225" s="272"/>
      <c r="Y225" s="272"/>
      <c r="Z225" s="272"/>
      <c r="AA225" s="272"/>
      <c r="AB225" s="272"/>
      <c r="AC225" s="272"/>
      <c r="AD225" s="272"/>
      <c r="AE225" s="272"/>
      <c r="AF225" s="272"/>
      <c r="AG225" s="272"/>
      <c r="AH225" s="272"/>
      <c r="AI225" s="272"/>
      <c r="AJ225" s="272"/>
      <c r="AK225" s="272"/>
      <c r="AL225" s="272"/>
      <c r="AM225" s="272"/>
      <c r="AN225" s="272"/>
      <c r="AO225" s="272"/>
      <c r="AP225" s="272"/>
      <c r="AQ225" s="272"/>
      <c r="AR225" s="272"/>
      <c r="AS225" s="272"/>
      <c r="AT225" s="272"/>
      <c r="AU225" s="272"/>
      <c r="AV225" s="272"/>
      <c r="AW225" s="272"/>
      <c r="AX225" s="272"/>
      <c r="AY225" s="272"/>
      <c r="AZ225" s="272"/>
      <c r="BA225" s="272"/>
      <c r="BB225" s="272"/>
      <c r="BC225" s="272"/>
      <c r="BD225" s="272"/>
      <c r="BE225" s="272"/>
      <c r="BF225" s="272"/>
      <c r="BG225" s="272"/>
      <c r="BH225" s="272"/>
      <c r="BI225" s="272"/>
      <c r="BJ225" s="272"/>
      <c r="BK225" s="272"/>
      <c r="BL225" s="272"/>
      <c r="BM225" s="272"/>
      <c r="BN225" s="272"/>
      <c r="BO225" s="272"/>
      <c r="BP225" s="272"/>
      <c r="BQ225" s="272"/>
      <c r="BR225" s="272"/>
      <c r="BS225" s="272"/>
      <c r="BT225" s="272"/>
      <c r="BU225" s="272"/>
      <c r="BV225" s="272"/>
      <c r="BW225" s="272"/>
    </row>
    <row r="226" spans="1:75" s="183" customFormat="1">
      <c r="A226" s="324"/>
      <c r="D226" s="271"/>
      <c r="E226" s="271"/>
      <c r="F226" s="271"/>
      <c r="G226" s="283"/>
      <c r="H226" s="283"/>
      <c r="I226" s="283"/>
      <c r="J226" s="271"/>
      <c r="K226" s="271"/>
      <c r="L226" s="271"/>
      <c r="M226" s="271"/>
      <c r="N226" s="271"/>
      <c r="O226" s="271"/>
      <c r="P226" s="323"/>
      <c r="Q226" s="271"/>
      <c r="R226" s="271"/>
      <c r="S226" s="271"/>
      <c r="T226" s="271"/>
      <c r="U226" s="272"/>
      <c r="V226" s="272"/>
      <c r="W226" s="272"/>
      <c r="X226" s="272"/>
      <c r="Y226" s="272"/>
      <c r="Z226" s="272"/>
      <c r="AA226" s="272"/>
      <c r="AB226" s="272"/>
      <c r="AC226" s="272"/>
      <c r="AD226" s="272"/>
      <c r="AE226" s="272"/>
      <c r="AF226" s="272"/>
      <c r="AG226" s="272"/>
      <c r="AH226" s="272"/>
      <c r="AI226" s="272"/>
      <c r="AJ226" s="272"/>
      <c r="AK226" s="272"/>
      <c r="AL226" s="272"/>
      <c r="AM226" s="272"/>
      <c r="AN226" s="272"/>
      <c r="AO226" s="272"/>
      <c r="AP226" s="272"/>
      <c r="AQ226" s="272"/>
      <c r="AR226" s="272"/>
      <c r="AS226" s="272"/>
      <c r="AT226" s="272"/>
      <c r="AU226" s="272"/>
      <c r="AV226" s="272"/>
      <c r="AW226" s="272"/>
      <c r="AX226" s="272"/>
      <c r="AY226" s="272"/>
      <c r="AZ226" s="272"/>
      <c r="BA226" s="272"/>
      <c r="BB226" s="272"/>
      <c r="BC226" s="272"/>
      <c r="BD226" s="272"/>
      <c r="BE226" s="272"/>
      <c r="BF226" s="272"/>
      <c r="BG226" s="272"/>
      <c r="BH226" s="272"/>
      <c r="BI226" s="272"/>
      <c r="BJ226" s="272"/>
      <c r="BK226" s="272"/>
      <c r="BL226" s="272"/>
      <c r="BM226" s="272"/>
      <c r="BN226" s="272"/>
      <c r="BO226" s="272"/>
      <c r="BP226" s="272"/>
      <c r="BQ226" s="272"/>
      <c r="BR226" s="272"/>
      <c r="BS226" s="272"/>
      <c r="BT226" s="272"/>
      <c r="BU226" s="272"/>
      <c r="BV226" s="272"/>
      <c r="BW226" s="272"/>
    </row>
    <row r="227" spans="1:75" s="183" customFormat="1">
      <c r="A227" s="324"/>
      <c r="D227" s="271"/>
      <c r="E227" s="271"/>
      <c r="F227" s="271"/>
      <c r="G227" s="283"/>
      <c r="H227" s="283"/>
      <c r="I227" s="283"/>
      <c r="J227" s="271"/>
      <c r="K227" s="271"/>
      <c r="L227" s="271"/>
      <c r="M227" s="271"/>
      <c r="N227" s="271"/>
      <c r="O227" s="271"/>
      <c r="P227" s="323"/>
      <c r="Q227" s="271"/>
      <c r="R227" s="271"/>
      <c r="S227" s="271"/>
      <c r="T227" s="271"/>
      <c r="U227" s="272"/>
      <c r="V227" s="272"/>
      <c r="W227" s="272"/>
      <c r="X227" s="272"/>
      <c r="Y227" s="272"/>
      <c r="Z227" s="272"/>
      <c r="AA227" s="272"/>
      <c r="AB227" s="272"/>
      <c r="AC227" s="272"/>
      <c r="AD227" s="272"/>
      <c r="AE227" s="272"/>
      <c r="AF227" s="272"/>
      <c r="AG227" s="272"/>
      <c r="AH227" s="272"/>
      <c r="AI227" s="272"/>
      <c r="AJ227" s="272"/>
      <c r="AK227" s="272"/>
      <c r="AL227" s="272"/>
      <c r="AM227" s="272"/>
      <c r="AN227" s="272"/>
      <c r="AO227" s="272"/>
      <c r="AP227" s="272"/>
      <c r="AQ227" s="272"/>
      <c r="AR227" s="272"/>
      <c r="AS227" s="272"/>
      <c r="AT227" s="272"/>
      <c r="AU227" s="272"/>
      <c r="AV227" s="272"/>
      <c r="AW227" s="272"/>
      <c r="AX227" s="272"/>
      <c r="AY227" s="272"/>
      <c r="AZ227" s="272"/>
      <c r="BA227" s="272"/>
      <c r="BB227" s="272"/>
      <c r="BC227" s="272"/>
      <c r="BD227" s="272"/>
      <c r="BE227" s="272"/>
      <c r="BF227" s="272"/>
      <c r="BG227" s="272"/>
      <c r="BH227" s="272"/>
      <c r="BI227" s="272"/>
      <c r="BJ227" s="272"/>
      <c r="BK227" s="272"/>
      <c r="BL227" s="272"/>
      <c r="BM227" s="272"/>
      <c r="BN227" s="272"/>
      <c r="BO227" s="272"/>
      <c r="BP227" s="272"/>
      <c r="BQ227" s="272"/>
      <c r="BR227" s="272"/>
      <c r="BS227" s="272"/>
      <c r="BT227" s="272"/>
      <c r="BU227" s="272"/>
      <c r="BV227" s="272"/>
      <c r="BW227" s="272"/>
    </row>
    <row r="228" spans="1:75" s="183" customFormat="1">
      <c r="A228" s="324"/>
      <c r="D228" s="271"/>
      <c r="E228" s="271"/>
      <c r="F228" s="271"/>
      <c r="G228" s="283"/>
      <c r="H228" s="283"/>
      <c r="I228" s="283"/>
      <c r="J228" s="271"/>
      <c r="K228" s="271"/>
      <c r="L228" s="271"/>
      <c r="M228" s="271"/>
      <c r="N228" s="271"/>
      <c r="O228" s="271"/>
      <c r="P228" s="323"/>
      <c r="Q228" s="271"/>
      <c r="R228" s="271"/>
      <c r="S228" s="271"/>
      <c r="T228" s="271"/>
      <c r="U228" s="272"/>
      <c r="V228" s="272"/>
      <c r="W228" s="272"/>
      <c r="X228" s="272"/>
      <c r="Y228" s="272"/>
      <c r="Z228" s="272"/>
      <c r="AA228" s="272"/>
      <c r="AB228" s="272"/>
      <c r="AC228" s="272"/>
      <c r="AD228" s="272"/>
      <c r="AE228" s="272"/>
      <c r="AF228" s="272"/>
      <c r="AG228" s="272"/>
      <c r="AH228" s="272"/>
      <c r="AI228" s="272"/>
      <c r="AJ228" s="272"/>
      <c r="AK228" s="272"/>
      <c r="AL228" s="272"/>
      <c r="AM228" s="272"/>
      <c r="AN228" s="272"/>
      <c r="AO228" s="272"/>
      <c r="AP228" s="272"/>
      <c r="AQ228" s="272"/>
      <c r="AR228" s="272"/>
      <c r="AS228" s="272"/>
      <c r="AT228" s="272"/>
      <c r="AU228" s="272"/>
      <c r="AV228" s="272"/>
      <c r="AW228" s="272"/>
      <c r="AX228" s="272"/>
      <c r="AY228" s="272"/>
      <c r="AZ228" s="272"/>
      <c r="BA228" s="272"/>
      <c r="BB228" s="272"/>
      <c r="BC228" s="272"/>
      <c r="BD228" s="272"/>
      <c r="BE228" s="272"/>
      <c r="BF228" s="272"/>
      <c r="BG228" s="272"/>
      <c r="BH228" s="272"/>
      <c r="BI228" s="272"/>
      <c r="BJ228" s="272"/>
      <c r="BK228" s="272"/>
      <c r="BL228" s="272"/>
      <c r="BM228" s="272"/>
      <c r="BN228" s="272"/>
      <c r="BO228" s="272"/>
      <c r="BP228" s="272"/>
      <c r="BQ228" s="272"/>
      <c r="BR228" s="272"/>
      <c r="BS228" s="272"/>
      <c r="BT228" s="272"/>
      <c r="BU228" s="272"/>
      <c r="BV228" s="272"/>
      <c r="BW228" s="272"/>
    </row>
    <row r="229" spans="1:75" s="183" customFormat="1">
      <c r="A229" s="324"/>
      <c r="D229" s="271"/>
      <c r="E229" s="271"/>
      <c r="F229" s="271"/>
      <c r="G229" s="283"/>
      <c r="H229" s="283"/>
      <c r="I229" s="283"/>
      <c r="J229" s="271"/>
      <c r="K229" s="271"/>
      <c r="L229" s="271"/>
      <c r="M229" s="271"/>
      <c r="N229" s="271"/>
      <c r="O229" s="271"/>
      <c r="P229" s="323"/>
      <c r="Q229" s="271"/>
      <c r="R229" s="271"/>
      <c r="S229" s="271"/>
      <c r="T229" s="271"/>
      <c r="U229" s="272"/>
      <c r="V229" s="272"/>
      <c r="W229" s="272"/>
      <c r="X229" s="272"/>
      <c r="Y229" s="272"/>
      <c r="Z229" s="272"/>
      <c r="AA229" s="272"/>
      <c r="AB229" s="272"/>
      <c r="AC229" s="272"/>
      <c r="AD229" s="272"/>
      <c r="AE229" s="272"/>
      <c r="AF229" s="272"/>
      <c r="AG229" s="272"/>
      <c r="AH229" s="272"/>
      <c r="AI229" s="272"/>
      <c r="AJ229" s="272"/>
      <c r="AK229" s="272"/>
      <c r="AL229" s="272"/>
      <c r="AM229" s="272"/>
      <c r="AN229" s="272"/>
      <c r="AO229" s="272"/>
      <c r="AP229" s="272"/>
      <c r="AQ229" s="272"/>
      <c r="AR229" s="272"/>
      <c r="AS229" s="272"/>
      <c r="AT229" s="272"/>
      <c r="AU229" s="272"/>
      <c r="AV229" s="272"/>
      <c r="AW229" s="272"/>
      <c r="AX229" s="272"/>
      <c r="AY229" s="272"/>
      <c r="AZ229" s="272"/>
      <c r="BA229" s="272"/>
      <c r="BB229" s="272"/>
      <c r="BC229" s="272"/>
      <c r="BD229" s="272"/>
      <c r="BE229" s="272"/>
      <c r="BF229" s="272"/>
      <c r="BG229" s="272"/>
      <c r="BH229" s="272"/>
      <c r="BI229" s="272"/>
      <c r="BJ229" s="272"/>
      <c r="BK229" s="272"/>
      <c r="BL229" s="272"/>
      <c r="BM229" s="272"/>
      <c r="BN229" s="272"/>
      <c r="BO229" s="272"/>
      <c r="BP229" s="272"/>
      <c r="BQ229" s="272"/>
      <c r="BR229" s="272"/>
      <c r="BS229" s="272"/>
      <c r="BT229" s="272"/>
      <c r="BU229" s="272"/>
      <c r="BV229" s="272"/>
      <c r="BW229" s="272"/>
    </row>
    <row r="230" spans="1:75" s="183" customFormat="1">
      <c r="A230" s="324"/>
      <c r="D230" s="271"/>
      <c r="E230" s="271"/>
      <c r="F230" s="271"/>
      <c r="G230" s="283"/>
      <c r="H230" s="283"/>
      <c r="I230" s="283"/>
      <c r="J230" s="271"/>
      <c r="K230" s="271"/>
      <c r="L230" s="271"/>
      <c r="M230" s="271"/>
      <c r="N230" s="271"/>
      <c r="O230" s="271"/>
      <c r="P230" s="323"/>
      <c r="Q230" s="271"/>
      <c r="R230" s="271"/>
      <c r="S230" s="271"/>
      <c r="T230" s="271"/>
      <c r="U230" s="272"/>
      <c r="V230" s="272"/>
      <c r="W230" s="272"/>
      <c r="X230" s="272"/>
      <c r="Y230" s="272"/>
      <c r="Z230" s="272"/>
      <c r="AA230" s="272"/>
      <c r="AB230" s="272"/>
      <c r="AC230" s="272"/>
      <c r="AD230" s="272"/>
      <c r="AE230" s="272"/>
      <c r="AF230" s="272"/>
      <c r="AG230" s="272"/>
      <c r="AH230" s="272"/>
      <c r="AI230" s="272"/>
      <c r="AJ230" s="272"/>
      <c r="AK230" s="272"/>
      <c r="AL230" s="272"/>
      <c r="AM230" s="272"/>
      <c r="AN230" s="272"/>
      <c r="AO230" s="272"/>
      <c r="AP230" s="272"/>
      <c r="AQ230" s="272"/>
      <c r="AR230" s="272"/>
      <c r="AS230" s="272"/>
      <c r="AT230" s="272"/>
      <c r="AU230" s="272"/>
      <c r="AV230" s="272"/>
      <c r="AW230" s="272"/>
      <c r="AX230" s="272"/>
      <c r="AY230" s="272"/>
      <c r="AZ230" s="272"/>
      <c r="BA230" s="272"/>
      <c r="BB230" s="272"/>
      <c r="BC230" s="272"/>
      <c r="BD230" s="272"/>
      <c r="BE230" s="272"/>
      <c r="BF230" s="272"/>
      <c r="BG230" s="272"/>
      <c r="BH230" s="272"/>
      <c r="BI230" s="272"/>
      <c r="BJ230" s="272"/>
      <c r="BK230" s="272"/>
      <c r="BL230" s="272"/>
      <c r="BM230" s="272"/>
      <c r="BN230" s="272"/>
      <c r="BO230" s="272"/>
      <c r="BP230" s="272"/>
      <c r="BQ230" s="272"/>
      <c r="BR230" s="272"/>
      <c r="BS230" s="272"/>
      <c r="BT230" s="272"/>
      <c r="BU230" s="272"/>
      <c r="BV230" s="272"/>
      <c r="BW230" s="272"/>
    </row>
    <row r="231" spans="1:75" s="183" customFormat="1">
      <c r="A231" s="324"/>
      <c r="D231" s="271"/>
      <c r="E231" s="271"/>
      <c r="F231" s="271"/>
      <c r="G231" s="283"/>
      <c r="H231" s="283"/>
      <c r="I231" s="283"/>
      <c r="J231" s="271"/>
      <c r="K231" s="271"/>
      <c r="L231" s="271"/>
      <c r="M231" s="271"/>
      <c r="N231" s="271"/>
      <c r="O231" s="271"/>
      <c r="P231" s="323"/>
      <c r="Q231" s="271"/>
      <c r="R231" s="271"/>
      <c r="S231" s="271"/>
      <c r="T231" s="271"/>
      <c r="U231" s="272"/>
      <c r="V231" s="272"/>
      <c r="W231" s="272"/>
      <c r="X231" s="272"/>
      <c r="Y231" s="272"/>
      <c r="Z231" s="272"/>
      <c r="AA231" s="272"/>
      <c r="AB231" s="272"/>
      <c r="AC231" s="272"/>
      <c r="AD231" s="272"/>
      <c r="AE231" s="272"/>
      <c r="AF231" s="272"/>
      <c r="AG231" s="272"/>
      <c r="AH231" s="272"/>
      <c r="AI231" s="272"/>
      <c r="AJ231" s="272"/>
      <c r="AK231" s="272"/>
      <c r="AL231" s="272"/>
      <c r="AM231" s="272"/>
      <c r="AN231" s="272"/>
      <c r="AO231" s="272"/>
      <c r="AP231" s="272"/>
      <c r="AQ231" s="272"/>
      <c r="AR231" s="272"/>
      <c r="AS231" s="272"/>
      <c r="AT231" s="272"/>
      <c r="AU231" s="272"/>
      <c r="AV231" s="272"/>
      <c r="AW231" s="272"/>
      <c r="AX231" s="272"/>
      <c r="AY231" s="272"/>
      <c r="AZ231" s="272"/>
      <c r="BA231" s="272"/>
      <c r="BB231" s="272"/>
      <c r="BC231" s="272"/>
      <c r="BD231" s="272"/>
      <c r="BE231" s="272"/>
      <c r="BF231" s="272"/>
      <c r="BG231" s="272"/>
      <c r="BH231" s="272"/>
      <c r="BI231" s="272"/>
      <c r="BJ231" s="272"/>
      <c r="BK231" s="272"/>
      <c r="BL231" s="272"/>
      <c r="BM231" s="272"/>
      <c r="BN231" s="272"/>
      <c r="BO231" s="272"/>
      <c r="BP231" s="272"/>
      <c r="BQ231" s="272"/>
      <c r="BR231" s="272"/>
      <c r="BS231" s="272"/>
      <c r="BT231" s="272"/>
      <c r="BU231" s="272"/>
      <c r="BV231" s="272"/>
      <c r="BW231" s="272"/>
    </row>
    <row r="232" spans="1:75" s="183" customFormat="1">
      <c r="A232" s="324"/>
      <c r="D232" s="271"/>
      <c r="E232" s="271"/>
      <c r="F232" s="271"/>
      <c r="G232" s="283"/>
      <c r="H232" s="283"/>
      <c r="I232" s="283"/>
      <c r="J232" s="271"/>
      <c r="K232" s="271"/>
      <c r="L232" s="271"/>
      <c r="M232" s="271"/>
      <c r="N232" s="271"/>
      <c r="O232" s="271"/>
      <c r="P232" s="323"/>
      <c r="Q232" s="271"/>
      <c r="R232" s="271"/>
      <c r="S232" s="271"/>
      <c r="T232" s="271"/>
      <c r="U232" s="272"/>
      <c r="V232" s="272"/>
      <c r="W232" s="272"/>
      <c r="X232" s="272"/>
      <c r="Y232" s="272"/>
      <c r="Z232" s="272"/>
      <c r="AA232" s="272"/>
      <c r="AB232" s="272"/>
      <c r="AC232" s="272"/>
      <c r="AD232" s="272"/>
      <c r="AE232" s="272"/>
      <c r="AF232" s="272"/>
      <c r="AG232" s="272"/>
      <c r="AH232" s="272"/>
      <c r="AI232" s="272"/>
      <c r="AJ232" s="272"/>
      <c r="AK232" s="272"/>
      <c r="AL232" s="272"/>
      <c r="AM232" s="272"/>
      <c r="AN232" s="272"/>
      <c r="AO232" s="272"/>
      <c r="AP232" s="272"/>
      <c r="AQ232" s="272"/>
      <c r="AR232" s="272"/>
      <c r="AS232" s="272"/>
      <c r="AT232" s="272"/>
      <c r="AU232" s="272"/>
      <c r="AV232" s="272"/>
      <c r="AW232" s="272"/>
      <c r="AX232" s="272"/>
      <c r="AY232" s="272"/>
      <c r="AZ232" s="272"/>
      <c r="BA232" s="272"/>
      <c r="BB232" s="272"/>
      <c r="BC232" s="272"/>
      <c r="BD232" s="272"/>
      <c r="BE232" s="272"/>
      <c r="BF232" s="272"/>
      <c r="BG232" s="272"/>
      <c r="BH232" s="272"/>
      <c r="BI232" s="272"/>
      <c r="BJ232" s="272"/>
      <c r="BK232" s="272"/>
      <c r="BL232" s="272"/>
      <c r="BM232" s="272"/>
      <c r="BN232" s="272"/>
      <c r="BO232" s="272"/>
      <c r="BP232" s="272"/>
      <c r="BQ232" s="272"/>
      <c r="BR232" s="272"/>
      <c r="BS232" s="272"/>
      <c r="BT232" s="272"/>
      <c r="BU232" s="272"/>
      <c r="BV232" s="272"/>
      <c r="BW232" s="272"/>
    </row>
    <row r="233" spans="1:75" s="183" customFormat="1">
      <c r="A233" s="324"/>
      <c r="D233" s="271"/>
      <c r="E233" s="271"/>
      <c r="F233" s="271"/>
      <c r="G233" s="283"/>
      <c r="H233" s="283"/>
      <c r="I233" s="283"/>
      <c r="J233" s="271"/>
      <c r="K233" s="271"/>
      <c r="L233" s="271"/>
      <c r="M233" s="271"/>
      <c r="N233" s="271"/>
      <c r="O233" s="271"/>
      <c r="P233" s="323"/>
      <c r="Q233" s="271"/>
      <c r="R233" s="271"/>
      <c r="S233" s="271"/>
      <c r="T233" s="271"/>
      <c r="U233" s="272"/>
      <c r="V233" s="272"/>
      <c r="W233" s="272"/>
      <c r="X233" s="272"/>
      <c r="Y233" s="272"/>
      <c r="Z233" s="272"/>
      <c r="AA233" s="272"/>
      <c r="AB233" s="272"/>
      <c r="AC233" s="272"/>
      <c r="AD233" s="272"/>
      <c r="AE233" s="272"/>
      <c r="AF233" s="272"/>
      <c r="AG233" s="272"/>
      <c r="AH233" s="272"/>
      <c r="AI233" s="272"/>
      <c r="AJ233" s="272"/>
      <c r="AK233" s="272"/>
      <c r="AL233" s="272"/>
      <c r="AM233" s="272"/>
      <c r="AN233" s="272"/>
      <c r="AO233" s="272"/>
      <c r="AP233" s="272"/>
      <c r="AQ233" s="272"/>
      <c r="AR233" s="272"/>
      <c r="AS233" s="272"/>
      <c r="AT233" s="272"/>
      <c r="AU233" s="272"/>
      <c r="AV233" s="272"/>
      <c r="AW233" s="272"/>
      <c r="AX233" s="272"/>
      <c r="AY233" s="272"/>
      <c r="AZ233" s="272"/>
      <c r="BA233" s="272"/>
      <c r="BB233" s="272"/>
      <c r="BC233" s="272"/>
      <c r="BD233" s="272"/>
      <c r="BE233" s="272"/>
      <c r="BF233" s="272"/>
      <c r="BG233" s="272"/>
      <c r="BH233" s="272"/>
      <c r="BI233" s="272"/>
      <c r="BJ233" s="272"/>
      <c r="BK233" s="272"/>
      <c r="BL233" s="272"/>
      <c r="BM233" s="272"/>
      <c r="BN233" s="272"/>
      <c r="BO233" s="272"/>
      <c r="BP233" s="272"/>
      <c r="BQ233" s="272"/>
      <c r="BR233" s="272"/>
      <c r="BS233" s="272"/>
      <c r="BT233" s="272"/>
      <c r="BU233" s="272"/>
      <c r="BV233" s="272"/>
      <c r="BW233" s="272"/>
    </row>
    <row r="234" spans="1:75" s="183" customFormat="1">
      <c r="A234" s="324"/>
      <c r="D234" s="271"/>
      <c r="E234" s="271"/>
      <c r="F234" s="271"/>
      <c r="G234" s="283"/>
      <c r="H234" s="283"/>
      <c r="I234" s="283"/>
      <c r="J234" s="271"/>
      <c r="K234" s="271"/>
      <c r="L234" s="271"/>
      <c r="M234" s="271"/>
      <c r="N234" s="271"/>
      <c r="O234" s="271"/>
      <c r="P234" s="323"/>
      <c r="Q234" s="271"/>
      <c r="R234" s="271"/>
      <c r="S234" s="271"/>
      <c r="T234" s="271"/>
      <c r="U234" s="272"/>
      <c r="V234" s="272"/>
      <c r="W234" s="272"/>
      <c r="X234" s="272"/>
      <c r="Y234" s="272"/>
      <c r="Z234" s="272"/>
      <c r="AA234" s="272"/>
      <c r="AB234" s="272"/>
      <c r="AC234" s="272"/>
      <c r="AD234" s="272"/>
      <c r="AE234" s="272"/>
      <c r="AF234" s="272"/>
      <c r="AG234" s="272"/>
      <c r="AH234" s="272"/>
      <c r="AI234" s="272"/>
      <c r="AJ234" s="272"/>
      <c r="AK234" s="272"/>
      <c r="AL234" s="272"/>
      <c r="AM234" s="272"/>
      <c r="AN234" s="272"/>
      <c r="AO234" s="272"/>
      <c r="AP234" s="272"/>
      <c r="AQ234" s="272"/>
      <c r="AR234" s="272"/>
      <c r="AS234" s="272"/>
      <c r="AT234" s="272"/>
      <c r="AU234" s="272"/>
      <c r="AV234" s="272"/>
      <c r="AW234" s="272"/>
      <c r="AX234" s="272"/>
      <c r="AY234" s="272"/>
      <c r="AZ234" s="272"/>
      <c r="BA234" s="272"/>
      <c r="BB234" s="272"/>
      <c r="BC234" s="272"/>
      <c r="BD234" s="272"/>
      <c r="BE234" s="272"/>
      <c r="BF234" s="272"/>
      <c r="BG234" s="272"/>
      <c r="BH234" s="272"/>
      <c r="BI234" s="272"/>
      <c r="BJ234" s="272"/>
      <c r="BK234" s="272"/>
      <c r="BL234" s="272"/>
      <c r="BM234" s="272"/>
      <c r="BN234" s="272"/>
      <c r="BO234" s="272"/>
      <c r="BP234" s="272"/>
      <c r="BQ234" s="272"/>
      <c r="BR234" s="272"/>
      <c r="BS234" s="272"/>
      <c r="BT234" s="272"/>
      <c r="BU234" s="272"/>
      <c r="BV234" s="272"/>
      <c r="BW234" s="272"/>
    </row>
    <row r="235" spans="1:75" s="183" customFormat="1">
      <c r="A235" s="324"/>
      <c r="D235" s="271"/>
      <c r="E235" s="271"/>
      <c r="F235" s="271"/>
      <c r="G235" s="283"/>
      <c r="H235" s="283"/>
      <c r="I235" s="283"/>
      <c r="J235" s="271"/>
      <c r="K235" s="271"/>
      <c r="L235" s="271"/>
      <c r="M235" s="271"/>
      <c r="N235" s="271"/>
      <c r="O235" s="271"/>
      <c r="P235" s="323"/>
      <c r="Q235" s="271"/>
      <c r="R235" s="271"/>
      <c r="S235" s="271"/>
      <c r="T235" s="271"/>
      <c r="U235" s="272"/>
      <c r="V235" s="272"/>
      <c r="W235" s="272"/>
      <c r="X235" s="272"/>
      <c r="Y235" s="272"/>
      <c r="Z235" s="272"/>
      <c r="AA235" s="272"/>
      <c r="AB235" s="272"/>
      <c r="AC235" s="272"/>
      <c r="AD235" s="272"/>
      <c r="AE235" s="272"/>
      <c r="AF235" s="272"/>
      <c r="AG235" s="272"/>
      <c r="AH235" s="272"/>
      <c r="AI235" s="272"/>
      <c r="AJ235" s="272"/>
      <c r="AK235" s="272"/>
      <c r="AL235" s="272"/>
      <c r="AM235" s="272"/>
      <c r="AN235" s="272"/>
      <c r="AO235" s="272"/>
      <c r="AP235" s="272"/>
      <c r="AQ235" s="272"/>
      <c r="AR235" s="272"/>
      <c r="AS235" s="272"/>
      <c r="AT235" s="272"/>
      <c r="AU235" s="272"/>
      <c r="AV235" s="272"/>
      <c r="AW235" s="272"/>
      <c r="AX235" s="272"/>
      <c r="AY235" s="272"/>
      <c r="AZ235" s="272"/>
      <c r="BA235" s="272"/>
      <c r="BB235" s="272"/>
      <c r="BC235" s="272"/>
      <c r="BD235" s="272"/>
      <c r="BE235" s="272"/>
      <c r="BF235" s="272"/>
      <c r="BG235" s="272"/>
      <c r="BH235" s="272"/>
      <c r="BI235" s="272"/>
      <c r="BJ235" s="272"/>
      <c r="BK235" s="272"/>
      <c r="BL235" s="272"/>
      <c r="BM235" s="272"/>
      <c r="BN235" s="272"/>
      <c r="BO235" s="272"/>
      <c r="BP235" s="272"/>
      <c r="BQ235" s="272"/>
      <c r="BR235" s="272"/>
      <c r="BS235" s="272"/>
      <c r="BT235" s="272"/>
      <c r="BU235" s="272"/>
      <c r="BV235" s="272"/>
      <c r="BW235" s="272"/>
    </row>
    <row r="236" spans="1:75" s="183" customFormat="1">
      <c r="A236" s="324"/>
      <c r="D236" s="271"/>
      <c r="E236" s="271"/>
      <c r="F236" s="271"/>
      <c r="G236" s="283"/>
      <c r="H236" s="283"/>
      <c r="I236" s="283"/>
      <c r="J236" s="271"/>
      <c r="K236" s="271"/>
      <c r="L236" s="271"/>
      <c r="M236" s="271"/>
      <c r="N236" s="271"/>
      <c r="O236" s="271"/>
      <c r="P236" s="323"/>
      <c r="Q236" s="271"/>
      <c r="R236" s="271"/>
      <c r="S236" s="271"/>
      <c r="T236" s="271"/>
      <c r="U236" s="272"/>
      <c r="V236" s="272"/>
      <c r="W236" s="272"/>
      <c r="X236" s="272"/>
      <c r="Y236" s="272"/>
      <c r="Z236" s="272"/>
      <c r="AA236" s="272"/>
      <c r="AB236" s="272"/>
      <c r="AC236" s="272"/>
      <c r="AD236" s="272"/>
      <c r="AE236" s="272"/>
      <c r="AF236" s="272"/>
      <c r="AG236" s="272"/>
      <c r="AH236" s="272"/>
      <c r="AI236" s="272"/>
      <c r="AJ236" s="272"/>
      <c r="AK236" s="272"/>
      <c r="AL236" s="272"/>
      <c r="AM236" s="272"/>
      <c r="AN236" s="272"/>
      <c r="AO236" s="272"/>
      <c r="AP236" s="272"/>
      <c r="AQ236" s="272"/>
      <c r="AR236" s="272"/>
      <c r="AS236" s="272"/>
      <c r="AT236" s="272"/>
      <c r="AU236" s="272"/>
      <c r="AV236" s="272"/>
      <c r="AW236" s="272"/>
      <c r="AX236" s="272"/>
      <c r="AY236" s="272"/>
      <c r="AZ236" s="272"/>
      <c r="BA236" s="272"/>
      <c r="BB236" s="272"/>
      <c r="BC236" s="272"/>
      <c r="BD236" s="272"/>
      <c r="BE236" s="272"/>
      <c r="BF236" s="272"/>
      <c r="BG236" s="272"/>
      <c r="BH236" s="272"/>
      <c r="BI236" s="272"/>
      <c r="BJ236" s="272"/>
      <c r="BK236" s="272"/>
      <c r="BL236" s="272"/>
      <c r="BM236" s="272"/>
      <c r="BN236" s="272"/>
      <c r="BO236" s="272"/>
      <c r="BP236" s="272"/>
      <c r="BQ236" s="272"/>
      <c r="BR236" s="272"/>
      <c r="BS236" s="272"/>
      <c r="BT236" s="272"/>
      <c r="BU236" s="272"/>
      <c r="BV236" s="272"/>
      <c r="BW236" s="272"/>
    </row>
    <row r="237" spans="1:75" s="183" customFormat="1">
      <c r="A237" s="324"/>
      <c r="D237" s="271"/>
      <c r="E237" s="271"/>
      <c r="F237" s="271"/>
      <c r="G237" s="283"/>
      <c r="H237" s="283"/>
      <c r="I237" s="283"/>
      <c r="J237" s="271"/>
      <c r="K237" s="271"/>
      <c r="L237" s="271"/>
      <c r="M237" s="271"/>
      <c r="N237" s="271"/>
      <c r="O237" s="271"/>
      <c r="P237" s="323"/>
      <c r="Q237" s="271"/>
      <c r="R237" s="271"/>
      <c r="S237" s="271"/>
      <c r="T237" s="271"/>
      <c r="U237" s="272"/>
      <c r="V237" s="272"/>
      <c r="W237" s="272"/>
      <c r="X237" s="272"/>
      <c r="Y237" s="272"/>
      <c r="Z237" s="272"/>
      <c r="AA237" s="272"/>
      <c r="AB237" s="272"/>
      <c r="AC237" s="272"/>
      <c r="AD237" s="272"/>
      <c r="AE237" s="272"/>
      <c r="AF237" s="272"/>
      <c r="AG237" s="272"/>
      <c r="AH237" s="272"/>
      <c r="AI237" s="272"/>
      <c r="AJ237" s="272"/>
      <c r="AK237" s="272"/>
      <c r="AL237" s="272"/>
      <c r="AM237" s="272"/>
      <c r="AN237" s="272"/>
      <c r="AO237" s="272"/>
      <c r="AP237" s="272"/>
      <c r="AQ237" s="272"/>
      <c r="AR237" s="272"/>
      <c r="AS237" s="272"/>
      <c r="AT237" s="272"/>
      <c r="AU237" s="272"/>
      <c r="AV237" s="272"/>
      <c r="AW237" s="272"/>
      <c r="AX237" s="272"/>
      <c r="AY237" s="272"/>
      <c r="AZ237" s="272"/>
      <c r="BA237" s="272"/>
      <c r="BB237" s="272"/>
      <c r="BC237" s="272"/>
      <c r="BD237" s="272"/>
      <c r="BE237" s="272"/>
      <c r="BF237" s="272"/>
      <c r="BG237" s="272"/>
      <c r="BH237" s="272"/>
      <c r="BI237" s="272"/>
      <c r="BJ237" s="272"/>
      <c r="BK237" s="272"/>
      <c r="BL237" s="272"/>
      <c r="BM237" s="272"/>
      <c r="BN237" s="272"/>
      <c r="BO237" s="272"/>
      <c r="BP237" s="272"/>
      <c r="BQ237" s="272"/>
      <c r="BR237" s="272"/>
      <c r="BS237" s="272"/>
      <c r="BT237" s="272"/>
      <c r="BU237" s="272"/>
      <c r="BV237" s="272"/>
      <c r="BW237" s="272"/>
    </row>
    <row r="238" spans="1:75" s="183" customFormat="1">
      <c r="A238" s="324"/>
      <c r="D238" s="271"/>
      <c r="E238" s="271"/>
      <c r="F238" s="271"/>
      <c r="G238" s="283"/>
      <c r="H238" s="283"/>
      <c r="I238" s="283"/>
      <c r="J238" s="271"/>
      <c r="K238" s="271"/>
      <c r="L238" s="271"/>
      <c r="M238" s="271"/>
      <c r="N238" s="271"/>
      <c r="O238" s="271"/>
      <c r="P238" s="323"/>
      <c r="Q238" s="271"/>
      <c r="R238" s="271"/>
      <c r="S238" s="271"/>
      <c r="T238" s="271"/>
      <c r="U238" s="272"/>
      <c r="V238" s="272"/>
      <c r="W238" s="272"/>
      <c r="X238" s="272"/>
      <c r="Y238" s="272"/>
      <c r="Z238" s="272"/>
      <c r="AA238" s="272"/>
      <c r="AB238" s="272"/>
      <c r="AC238" s="272"/>
      <c r="AD238" s="272"/>
      <c r="AE238" s="272"/>
      <c r="AF238" s="272"/>
      <c r="AG238" s="272"/>
      <c r="AH238" s="272"/>
      <c r="AI238" s="272"/>
      <c r="AJ238" s="272"/>
      <c r="AK238" s="272"/>
      <c r="AL238" s="272"/>
      <c r="AM238" s="272"/>
      <c r="AN238" s="272"/>
      <c r="AO238" s="272"/>
      <c r="AP238" s="272"/>
      <c r="AQ238" s="272"/>
      <c r="AR238" s="272"/>
      <c r="AS238" s="272"/>
      <c r="AT238" s="272"/>
      <c r="AU238" s="272"/>
      <c r="AV238" s="272"/>
      <c r="AW238" s="272"/>
      <c r="AX238" s="272"/>
      <c r="AY238" s="272"/>
      <c r="AZ238" s="272"/>
      <c r="BA238" s="272"/>
      <c r="BB238" s="272"/>
      <c r="BC238" s="272"/>
      <c r="BD238" s="272"/>
      <c r="BE238" s="272"/>
      <c r="BF238" s="272"/>
      <c r="BG238" s="272"/>
      <c r="BH238" s="272"/>
      <c r="BI238" s="272"/>
      <c r="BJ238" s="272"/>
      <c r="BK238" s="272"/>
      <c r="BL238" s="272"/>
      <c r="BM238" s="272"/>
      <c r="BN238" s="272"/>
      <c r="BO238" s="272"/>
      <c r="BP238" s="272"/>
      <c r="BQ238" s="272"/>
      <c r="BR238" s="272"/>
      <c r="BS238" s="272"/>
      <c r="BT238" s="272"/>
      <c r="BU238" s="272"/>
      <c r="BV238" s="272"/>
      <c r="BW238" s="272"/>
    </row>
    <row r="239" spans="1:75" s="183" customFormat="1">
      <c r="A239" s="324"/>
      <c r="D239" s="271"/>
      <c r="E239" s="271"/>
      <c r="F239" s="271"/>
      <c r="G239" s="283"/>
      <c r="H239" s="283"/>
      <c r="I239" s="283"/>
      <c r="J239" s="271"/>
      <c r="K239" s="271"/>
      <c r="L239" s="271"/>
      <c r="M239" s="271"/>
      <c r="N239" s="271"/>
      <c r="O239" s="271"/>
      <c r="P239" s="323"/>
      <c r="Q239" s="271"/>
      <c r="R239" s="271"/>
      <c r="S239" s="271"/>
      <c r="T239" s="271"/>
      <c r="U239" s="272"/>
      <c r="V239" s="272"/>
      <c r="W239" s="272"/>
      <c r="X239" s="272"/>
      <c r="Y239" s="272"/>
      <c r="Z239" s="272"/>
      <c r="AA239" s="272"/>
      <c r="AB239" s="272"/>
      <c r="AC239" s="272"/>
      <c r="AD239" s="272"/>
      <c r="AE239" s="272"/>
      <c r="AF239" s="272"/>
      <c r="AG239" s="272"/>
      <c r="AH239" s="272"/>
      <c r="AI239" s="272"/>
      <c r="AJ239" s="272"/>
      <c r="AK239" s="272"/>
      <c r="AL239" s="272"/>
      <c r="AM239" s="272"/>
      <c r="AN239" s="272"/>
      <c r="AO239" s="272"/>
      <c r="AP239" s="272"/>
      <c r="AQ239" s="272"/>
      <c r="AR239" s="272"/>
      <c r="AS239" s="272"/>
      <c r="AT239" s="272"/>
      <c r="AU239" s="272"/>
      <c r="AV239" s="272"/>
      <c r="AW239" s="272"/>
      <c r="AX239" s="272"/>
      <c r="AY239" s="272"/>
      <c r="AZ239" s="272"/>
      <c r="BA239" s="272"/>
      <c r="BB239" s="272"/>
      <c r="BC239" s="272"/>
      <c r="BD239" s="272"/>
      <c r="BE239" s="272"/>
      <c r="BF239" s="272"/>
      <c r="BG239" s="272"/>
      <c r="BH239" s="272"/>
      <c r="BI239" s="272"/>
      <c r="BJ239" s="272"/>
      <c r="BK239" s="272"/>
      <c r="BL239" s="272"/>
      <c r="BM239" s="272"/>
      <c r="BN239" s="272"/>
      <c r="BO239" s="272"/>
      <c r="BP239" s="272"/>
      <c r="BQ239" s="272"/>
      <c r="BR239" s="272"/>
      <c r="BS239" s="272"/>
      <c r="BT239" s="272"/>
      <c r="BU239" s="272"/>
      <c r="BV239" s="272"/>
      <c r="BW239" s="272"/>
    </row>
    <row r="240" spans="1:75" s="183" customFormat="1">
      <c r="A240" s="324"/>
      <c r="D240" s="271"/>
      <c r="E240" s="271"/>
      <c r="F240" s="271"/>
      <c r="G240" s="283"/>
      <c r="H240" s="283"/>
      <c r="I240" s="283"/>
      <c r="J240" s="271"/>
      <c r="K240" s="271"/>
      <c r="L240" s="271"/>
      <c r="M240" s="271"/>
      <c r="N240" s="271"/>
      <c r="O240" s="271"/>
      <c r="P240" s="323"/>
      <c r="Q240" s="271"/>
      <c r="R240" s="271"/>
      <c r="S240" s="271"/>
      <c r="T240" s="271"/>
      <c r="U240" s="272"/>
      <c r="V240" s="272"/>
      <c r="W240" s="272"/>
      <c r="X240" s="272"/>
      <c r="Y240" s="272"/>
      <c r="Z240" s="272"/>
      <c r="AA240" s="272"/>
      <c r="AB240" s="272"/>
      <c r="AC240" s="272"/>
      <c r="AD240" s="272"/>
      <c r="AE240" s="272"/>
      <c r="AF240" s="272"/>
      <c r="AG240" s="272"/>
      <c r="AH240" s="272"/>
      <c r="AI240" s="272"/>
      <c r="AJ240" s="272"/>
      <c r="AK240" s="272"/>
      <c r="AL240" s="272"/>
      <c r="AM240" s="272"/>
      <c r="AN240" s="272"/>
      <c r="AO240" s="272"/>
      <c r="AP240" s="272"/>
      <c r="AQ240" s="272"/>
      <c r="AR240" s="272"/>
      <c r="AS240" s="272"/>
      <c r="AT240" s="272"/>
      <c r="AU240" s="272"/>
      <c r="AV240" s="272"/>
      <c r="AW240" s="272"/>
      <c r="AX240" s="272"/>
      <c r="AY240" s="272"/>
      <c r="AZ240" s="272"/>
      <c r="BA240" s="272"/>
      <c r="BB240" s="272"/>
      <c r="BC240" s="272"/>
      <c r="BD240" s="272"/>
      <c r="BE240" s="272"/>
      <c r="BF240" s="272"/>
      <c r="BG240" s="272"/>
      <c r="BH240" s="272"/>
      <c r="BI240" s="272"/>
      <c r="BJ240" s="272"/>
      <c r="BK240" s="272"/>
      <c r="BL240" s="272"/>
      <c r="BM240" s="272"/>
      <c r="BN240" s="272"/>
      <c r="BO240" s="272"/>
      <c r="BP240" s="272"/>
      <c r="BQ240" s="272"/>
      <c r="BR240" s="272"/>
      <c r="BS240" s="272"/>
      <c r="BT240" s="272"/>
      <c r="BU240" s="272"/>
      <c r="BV240" s="272"/>
      <c r="BW240" s="272"/>
    </row>
    <row r="241" spans="1:75" s="183" customFormat="1">
      <c r="A241" s="324"/>
      <c r="D241" s="271"/>
      <c r="E241" s="271"/>
      <c r="F241" s="271"/>
      <c r="G241" s="283"/>
      <c r="H241" s="283"/>
      <c r="I241" s="283"/>
      <c r="J241" s="271"/>
      <c r="K241" s="271"/>
      <c r="L241" s="271"/>
      <c r="M241" s="271"/>
      <c r="N241" s="271"/>
      <c r="O241" s="271"/>
      <c r="P241" s="323"/>
      <c r="Q241" s="271"/>
      <c r="R241" s="271"/>
      <c r="S241" s="271"/>
      <c r="T241" s="271"/>
      <c r="U241" s="272"/>
      <c r="V241" s="272"/>
      <c r="W241" s="272"/>
      <c r="X241" s="272"/>
      <c r="Y241" s="272"/>
      <c r="Z241" s="272"/>
      <c r="AA241" s="272"/>
      <c r="AB241" s="272"/>
      <c r="AC241" s="272"/>
      <c r="AD241" s="272"/>
      <c r="AE241" s="272"/>
      <c r="AF241" s="272"/>
      <c r="AG241" s="272"/>
      <c r="AH241" s="272"/>
      <c r="AI241" s="272"/>
      <c r="AJ241" s="272"/>
      <c r="AK241" s="272"/>
      <c r="AL241" s="272"/>
      <c r="AM241" s="272"/>
      <c r="AN241" s="272"/>
      <c r="AO241" s="272"/>
      <c r="AP241" s="272"/>
      <c r="AQ241" s="272"/>
      <c r="AR241" s="272"/>
      <c r="AS241" s="272"/>
      <c r="AT241" s="272"/>
      <c r="AU241" s="272"/>
      <c r="AV241" s="272"/>
      <c r="AW241" s="272"/>
      <c r="AX241" s="272"/>
      <c r="AY241" s="272"/>
      <c r="AZ241" s="272"/>
      <c r="BA241" s="272"/>
      <c r="BB241" s="272"/>
      <c r="BC241" s="272"/>
      <c r="BD241" s="272"/>
      <c r="BE241" s="272"/>
      <c r="BF241" s="272"/>
      <c r="BG241" s="272"/>
      <c r="BH241" s="272"/>
      <c r="BI241" s="272"/>
      <c r="BJ241" s="272"/>
      <c r="BK241" s="272"/>
      <c r="BL241" s="272"/>
      <c r="BM241" s="272"/>
      <c r="BN241" s="272"/>
      <c r="BO241" s="272"/>
      <c r="BP241" s="272"/>
      <c r="BQ241" s="272"/>
      <c r="BR241" s="272"/>
      <c r="BS241" s="272"/>
      <c r="BT241" s="272"/>
      <c r="BU241" s="272"/>
      <c r="BV241" s="272"/>
      <c r="BW241" s="272"/>
    </row>
    <row r="242" spans="1:75" s="183" customFormat="1">
      <c r="A242" s="324"/>
      <c r="D242" s="271"/>
      <c r="E242" s="271"/>
      <c r="F242" s="271"/>
      <c r="G242" s="283"/>
      <c r="H242" s="283"/>
      <c r="I242" s="283"/>
      <c r="J242" s="271"/>
      <c r="K242" s="271"/>
      <c r="L242" s="271"/>
      <c r="M242" s="271"/>
      <c r="N242" s="271"/>
      <c r="O242" s="271"/>
      <c r="P242" s="323"/>
      <c r="Q242" s="271"/>
      <c r="R242" s="271"/>
      <c r="S242" s="271"/>
      <c r="T242" s="271"/>
      <c r="U242" s="272"/>
      <c r="V242" s="272"/>
      <c r="W242" s="272"/>
      <c r="X242" s="272"/>
      <c r="Y242" s="272"/>
      <c r="Z242" s="272"/>
      <c r="AA242" s="272"/>
      <c r="AB242" s="272"/>
      <c r="AC242" s="272"/>
      <c r="AD242" s="272"/>
      <c r="AE242" s="272"/>
      <c r="AF242" s="272"/>
      <c r="AG242" s="272"/>
      <c r="AH242" s="272"/>
      <c r="AI242" s="272"/>
      <c r="AJ242" s="272"/>
      <c r="AK242" s="272"/>
      <c r="AL242" s="272"/>
      <c r="AM242" s="272"/>
      <c r="AN242" s="272"/>
      <c r="AO242" s="272"/>
      <c r="AP242" s="272"/>
      <c r="AQ242" s="272"/>
      <c r="AR242" s="272"/>
      <c r="AS242" s="272"/>
      <c r="AT242" s="272"/>
      <c r="AU242" s="272"/>
      <c r="AV242" s="272"/>
      <c r="AW242" s="272"/>
      <c r="AX242" s="272"/>
      <c r="AY242" s="272"/>
      <c r="AZ242" s="272"/>
      <c r="BA242" s="272"/>
      <c r="BB242" s="272"/>
      <c r="BC242" s="272"/>
      <c r="BD242" s="272"/>
      <c r="BE242" s="272"/>
      <c r="BF242" s="272"/>
      <c r="BG242" s="272"/>
      <c r="BH242" s="272"/>
      <c r="BI242" s="272"/>
      <c r="BJ242" s="272"/>
      <c r="BK242" s="272"/>
      <c r="BL242" s="272"/>
      <c r="BM242" s="272"/>
      <c r="BN242" s="272"/>
      <c r="BO242" s="272"/>
      <c r="BP242" s="272"/>
      <c r="BQ242" s="272"/>
      <c r="BR242" s="272"/>
      <c r="BS242" s="272"/>
      <c r="BT242" s="272"/>
      <c r="BU242" s="272"/>
      <c r="BV242" s="272"/>
      <c r="BW242" s="272"/>
    </row>
    <row r="243" spans="1:75" s="183" customFormat="1">
      <c r="A243" s="324"/>
      <c r="D243" s="271"/>
      <c r="E243" s="271"/>
      <c r="F243" s="271"/>
      <c r="G243" s="283"/>
      <c r="H243" s="283"/>
      <c r="I243" s="283"/>
      <c r="J243" s="271"/>
      <c r="K243" s="271"/>
      <c r="L243" s="271"/>
      <c r="M243" s="271"/>
      <c r="N243" s="271"/>
      <c r="O243" s="271"/>
      <c r="P243" s="323"/>
      <c r="Q243" s="271"/>
      <c r="R243" s="271"/>
      <c r="S243" s="271"/>
      <c r="T243" s="271"/>
      <c r="U243" s="272"/>
      <c r="V243" s="272"/>
      <c r="W243" s="272"/>
      <c r="X243" s="272"/>
      <c r="Y243" s="272"/>
      <c r="Z243" s="272"/>
      <c r="AA243" s="272"/>
      <c r="AB243" s="272"/>
      <c r="AC243" s="272"/>
      <c r="AD243" s="272"/>
      <c r="AE243" s="272"/>
      <c r="AF243" s="272"/>
      <c r="AG243" s="272"/>
      <c r="AH243" s="272"/>
      <c r="AI243" s="272"/>
      <c r="AJ243" s="272"/>
      <c r="AK243" s="272"/>
      <c r="AL243" s="272"/>
      <c r="AM243" s="272"/>
      <c r="AN243" s="272"/>
      <c r="AO243" s="272"/>
      <c r="AP243" s="272"/>
      <c r="AQ243" s="272"/>
      <c r="AR243" s="272"/>
      <c r="AS243" s="272"/>
      <c r="AT243" s="272"/>
      <c r="AU243" s="272"/>
      <c r="AV243" s="272"/>
      <c r="AW243" s="272"/>
      <c r="AX243" s="272"/>
      <c r="AY243" s="272"/>
      <c r="AZ243" s="272"/>
      <c r="BA243" s="272"/>
      <c r="BB243" s="272"/>
      <c r="BC243" s="272"/>
      <c r="BD243" s="272"/>
      <c r="BE243" s="272"/>
      <c r="BF243" s="272"/>
      <c r="BG243" s="272"/>
      <c r="BH243" s="272"/>
      <c r="BI243" s="272"/>
      <c r="BJ243" s="272"/>
      <c r="BK243" s="272"/>
      <c r="BL243" s="272"/>
      <c r="BM243" s="272"/>
      <c r="BN243" s="272"/>
      <c r="BO243" s="272"/>
      <c r="BP243" s="272"/>
      <c r="BQ243" s="272"/>
      <c r="BR243" s="272"/>
      <c r="BS243" s="272"/>
      <c r="BT243" s="272"/>
      <c r="BU243" s="272"/>
      <c r="BV243" s="272"/>
      <c r="BW243" s="272"/>
    </row>
    <row r="244" spans="1:75" s="183" customFormat="1">
      <c r="A244" s="324"/>
      <c r="D244" s="271"/>
      <c r="E244" s="271"/>
      <c r="F244" s="271"/>
      <c r="G244" s="283"/>
      <c r="H244" s="283"/>
      <c r="I244" s="283"/>
      <c r="J244" s="271"/>
      <c r="K244" s="271"/>
      <c r="L244" s="271"/>
      <c r="M244" s="271"/>
      <c r="N244" s="271"/>
      <c r="O244" s="271"/>
      <c r="P244" s="323"/>
      <c r="Q244" s="271"/>
      <c r="R244" s="271"/>
      <c r="S244" s="271"/>
      <c r="T244" s="271"/>
      <c r="U244" s="272"/>
      <c r="V244" s="272"/>
      <c r="W244" s="272"/>
      <c r="X244" s="272"/>
      <c r="Y244" s="272"/>
      <c r="Z244" s="272"/>
      <c r="AA244" s="272"/>
      <c r="AB244" s="272"/>
      <c r="AC244" s="272"/>
      <c r="AD244" s="272"/>
      <c r="AE244" s="272"/>
      <c r="AF244" s="272"/>
      <c r="AG244" s="272"/>
      <c r="AH244" s="272"/>
      <c r="AI244" s="272"/>
      <c r="AJ244" s="272"/>
      <c r="AK244" s="272"/>
      <c r="AL244" s="272"/>
      <c r="AM244" s="272"/>
      <c r="AN244" s="272"/>
      <c r="AO244" s="272"/>
      <c r="AP244" s="272"/>
      <c r="AQ244" s="272"/>
      <c r="AR244" s="272"/>
      <c r="AS244" s="272"/>
      <c r="AT244" s="272"/>
      <c r="AU244" s="272"/>
      <c r="AV244" s="272"/>
      <c r="AW244" s="272"/>
      <c r="AX244" s="272"/>
      <c r="AY244" s="272"/>
      <c r="AZ244" s="272"/>
      <c r="BA244" s="272"/>
      <c r="BB244" s="272"/>
      <c r="BC244" s="272"/>
      <c r="BD244" s="272"/>
      <c r="BE244" s="272"/>
      <c r="BF244" s="272"/>
      <c r="BG244" s="272"/>
      <c r="BH244" s="272"/>
      <c r="BI244" s="272"/>
      <c r="BJ244" s="272"/>
      <c r="BK244" s="272"/>
      <c r="BL244" s="272"/>
      <c r="BM244" s="272"/>
      <c r="BN244" s="272"/>
      <c r="BO244" s="272"/>
      <c r="BP244" s="272"/>
      <c r="BQ244" s="272"/>
      <c r="BR244" s="272"/>
      <c r="BS244" s="272"/>
      <c r="BT244" s="272"/>
      <c r="BU244" s="272"/>
      <c r="BV244" s="272"/>
      <c r="BW244" s="272"/>
    </row>
    <row r="245" spans="1:75" s="183" customFormat="1">
      <c r="A245" s="324"/>
      <c r="D245" s="271"/>
      <c r="E245" s="271"/>
      <c r="F245" s="271"/>
      <c r="G245" s="283"/>
      <c r="H245" s="283"/>
      <c r="I245" s="283"/>
      <c r="J245" s="271"/>
      <c r="K245" s="271"/>
      <c r="L245" s="271"/>
      <c r="M245" s="271"/>
      <c r="N245" s="271"/>
      <c r="O245" s="271"/>
      <c r="P245" s="323"/>
      <c r="Q245" s="271"/>
      <c r="R245" s="271"/>
      <c r="S245" s="271"/>
      <c r="T245" s="271"/>
      <c r="U245" s="272"/>
      <c r="V245" s="272"/>
      <c r="W245" s="272"/>
      <c r="X245" s="272"/>
      <c r="Y245" s="272"/>
      <c r="Z245" s="272"/>
      <c r="AA245" s="272"/>
      <c r="AB245" s="272"/>
      <c r="AC245" s="272"/>
      <c r="AD245" s="272"/>
      <c r="AE245" s="272"/>
      <c r="AF245" s="272"/>
      <c r="AG245" s="272"/>
      <c r="AH245" s="272"/>
      <c r="AI245" s="272"/>
      <c r="AJ245" s="272"/>
      <c r="AK245" s="272"/>
      <c r="AL245" s="272"/>
      <c r="AM245" s="272"/>
      <c r="AN245" s="272"/>
      <c r="AO245" s="272"/>
      <c r="AP245" s="272"/>
      <c r="AQ245" s="272"/>
      <c r="AR245" s="272"/>
      <c r="AS245" s="272"/>
      <c r="AT245" s="272"/>
      <c r="AU245" s="272"/>
      <c r="AV245" s="272"/>
      <c r="AW245" s="272"/>
      <c r="AX245" s="272"/>
      <c r="AY245" s="272"/>
      <c r="AZ245" s="272"/>
      <c r="BA245" s="272"/>
      <c r="BB245" s="272"/>
      <c r="BC245" s="272"/>
      <c r="BD245" s="272"/>
      <c r="BE245" s="272"/>
      <c r="BF245" s="272"/>
      <c r="BG245" s="272"/>
      <c r="BH245" s="272"/>
      <c r="BI245" s="272"/>
      <c r="BJ245" s="272"/>
      <c r="BK245" s="272"/>
      <c r="BL245" s="272"/>
      <c r="BM245" s="272"/>
      <c r="BN245" s="272"/>
      <c r="BO245" s="272"/>
      <c r="BP245" s="272"/>
      <c r="BQ245" s="272"/>
      <c r="BR245" s="272"/>
      <c r="BS245" s="272"/>
      <c r="BT245" s="272"/>
      <c r="BU245" s="272"/>
      <c r="BV245" s="272"/>
      <c r="BW245" s="272"/>
    </row>
    <row r="246" spans="1:75" s="183" customFormat="1">
      <c r="A246" s="324"/>
      <c r="D246" s="271"/>
      <c r="E246" s="271"/>
      <c r="F246" s="271"/>
      <c r="G246" s="283"/>
      <c r="H246" s="283"/>
      <c r="I246" s="283"/>
      <c r="J246" s="271"/>
      <c r="K246" s="271"/>
      <c r="L246" s="271"/>
      <c r="M246" s="271"/>
      <c r="N246" s="271"/>
      <c r="O246" s="271"/>
      <c r="P246" s="323"/>
      <c r="Q246" s="271"/>
      <c r="R246" s="271"/>
      <c r="S246" s="271"/>
      <c r="T246" s="271"/>
      <c r="U246" s="272"/>
      <c r="V246" s="272"/>
      <c r="W246" s="272"/>
      <c r="X246" s="272"/>
      <c r="Y246" s="272"/>
      <c r="Z246" s="272"/>
      <c r="AA246" s="272"/>
      <c r="AB246" s="272"/>
      <c r="AC246" s="272"/>
      <c r="AD246" s="272"/>
      <c r="AE246" s="272"/>
      <c r="AF246" s="272"/>
      <c r="AG246" s="272"/>
      <c r="AH246" s="272"/>
      <c r="AI246" s="272"/>
      <c r="AJ246" s="272"/>
      <c r="AK246" s="272"/>
      <c r="AL246" s="272"/>
      <c r="AM246" s="272"/>
      <c r="AN246" s="272"/>
      <c r="AO246" s="272"/>
      <c r="AP246" s="272"/>
      <c r="AQ246" s="272"/>
      <c r="AR246" s="272"/>
      <c r="AS246" s="272"/>
      <c r="AT246" s="272"/>
      <c r="AU246" s="272"/>
      <c r="AV246" s="272"/>
      <c r="AW246" s="272"/>
      <c r="AX246" s="272"/>
      <c r="AY246" s="272"/>
      <c r="AZ246" s="272"/>
      <c r="BA246" s="272"/>
      <c r="BB246" s="272"/>
      <c r="BC246" s="272"/>
      <c r="BD246" s="272"/>
      <c r="BE246" s="272"/>
      <c r="BF246" s="272"/>
      <c r="BG246" s="272"/>
      <c r="BH246" s="272"/>
      <c r="BI246" s="272"/>
      <c r="BJ246" s="272"/>
      <c r="BK246" s="272"/>
      <c r="BL246" s="272"/>
      <c r="BM246" s="272"/>
      <c r="BN246" s="272"/>
      <c r="BO246" s="272"/>
      <c r="BP246" s="272"/>
      <c r="BQ246" s="272"/>
      <c r="BR246" s="272"/>
      <c r="BS246" s="272"/>
      <c r="BT246" s="272"/>
      <c r="BU246" s="272"/>
      <c r="BV246" s="272"/>
      <c r="BW246" s="272"/>
    </row>
    <row r="247" spans="1:75" s="183" customFormat="1">
      <c r="A247" s="324"/>
      <c r="D247" s="271"/>
      <c r="E247" s="271"/>
      <c r="F247" s="271"/>
      <c r="G247" s="283"/>
      <c r="H247" s="283"/>
      <c r="I247" s="283"/>
      <c r="J247" s="271"/>
      <c r="K247" s="271"/>
      <c r="L247" s="271"/>
      <c r="M247" s="271"/>
      <c r="N247" s="271"/>
      <c r="O247" s="271"/>
      <c r="P247" s="323"/>
      <c r="Q247" s="271"/>
      <c r="R247" s="271"/>
      <c r="S247" s="271"/>
      <c r="T247" s="271"/>
      <c r="U247" s="272"/>
      <c r="V247" s="272"/>
      <c r="W247" s="272"/>
      <c r="X247" s="272"/>
      <c r="Y247" s="272"/>
      <c r="Z247" s="272"/>
      <c r="AA247" s="272"/>
      <c r="AB247" s="272"/>
      <c r="AC247" s="272"/>
      <c r="AD247" s="272"/>
      <c r="AE247" s="272"/>
      <c r="AF247" s="272"/>
      <c r="AG247" s="272"/>
      <c r="AH247" s="272"/>
      <c r="AI247" s="272"/>
      <c r="AJ247" s="272"/>
      <c r="AK247" s="272"/>
      <c r="AL247" s="272"/>
      <c r="AM247" s="272"/>
      <c r="AN247" s="272"/>
      <c r="AO247" s="272"/>
      <c r="AP247" s="272"/>
      <c r="AQ247" s="272"/>
      <c r="AR247" s="272"/>
      <c r="AS247" s="272"/>
      <c r="AT247" s="272"/>
      <c r="AU247" s="272"/>
      <c r="AV247" s="272"/>
      <c r="AW247" s="272"/>
      <c r="AX247" s="272"/>
      <c r="AY247" s="272"/>
      <c r="AZ247" s="272"/>
      <c r="BA247" s="272"/>
      <c r="BB247" s="272"/>
      <c r="BC247" s="272"/>
      <c r="BD247" s="272"/>
      <c r="BE247" s="272"/>
      <c r="BF247" s="272"/>
      <c r="BG247" s="272"/>
      <c r="BH247" s="272"/>
      <c r="BI247" s="272"/>
      <c r="BJ247" s="272"/>
      <c r="BK247" s="272"/>
      <c r="BL247" s="272"/>
      <c r="BM247" s="272"/>
      <c r="BN247" s="272"/>
      <c r="BO247" s="272"/>
      <c r="BP247" s="272"/>
      <c r="BQ247" s="272"/>
      <c r="BR247" s="272"/>
      <c r="BS247" s="272"/>
      <c r="BT247" s="272"/>
      <c r="BU247" s="272"/>
      <c r="BV247" s="272"/>
      <c r="BW247" s="272"/>
    </row>
    <row r="248" spans="1:75" s="183" customFormat="1">
      <c r="A248" s="324"/>
      <c r="D248" s="271"/>
      <c r="E248" s="271"/>
      <c r="F248" s="271"/>
      <c r="G248" s="283"/>
      <c r="H248" s="283"/>
      <c r="I248" s="283"/>
      <c r="J248" s="271"/>
      <c r="K248" s="271"/>
      <c r="L248" s="271"/>
      <c r="M248" s="271"/>
      <c r="N248" s="271"/>
      <c r="O248" s="271"/>
      <c r="P248" s="323"/>
      <c r="Q248" s="271"/>
      <c r="R248" s="271"/>
      <c r="S248" s="271"/>
      <c r="T248" s="271"/>
      <c r="U248" s="272"/>
      <c r="V248" s="272"/>
      <c r="W248" s="272"/>
      <c r="X248" s="272"/>
      <c r="Y248" s="272"/>
      <c r="Z248" s="272"/>
      <c r="AA248" s="272"/>
      <c r="AB248" s="272"/>
      <c r="AC248" s="272"/>
      <c r="AD248" s="272"/>
      <c r="AE248" s="272"/>
      <c r="AF248" s="272"/>
      <c r="AG248" s="272"/>
      <c r="AH248" s="272"/>
      <c r="AI248" s="272"/>
      <c r="AJ248" s="272"/>
      <c r="AK248" s="272"/>
      <c r="AL248" s="272"/>
      <c r="AM248" s="272"/>
      <c r="AN248" s="272"/>
      <c r="AO248" s="272"/>
      <c r="AP248" s="272"/>
      <c r="AQ248" s="272"/>
      <c r="AR248" s="272"/>
      <c r="AS248" s="272"/>
      <c r="AT248" s="272"/>
      <c r="AU248" s="272"/>
      <c r="AV248" s="272"/>
      <c r="AW248" s="272"/>
      <c r="AX248" s="272"/>
      <c r="AY248" s="272"/>
      <c r="AZ248" s="272"/>
      <c r="BA248" s="272"/>
      <c r="BB248" s="272"/>
      <c r="BC248" s="272"/>
      <c r="BD248" s="272"/>
      <c r="BE248" s="272"/>
      <c r="BF248" s="272"/>
      <c r="BG248" s="272"/>
      <c r="BH248" s="272"/>
      <c r="BI248" s="272"/>
      <c r="BJ248" s="272"/>
      <c r="BK248" s="272"/>
      <c r="BL248" s="272"/>
      <c r="BM248" s="272"/>
      <c r="BN248" s="272"/>
      <c r="BO248" s="272"/>
      <c r="BP248" s="272"/>
      <c r="BQ248" s="272"/>
      <c r="BR248" s="272"/>
      <c r="BS248" s="272"/>
      <c r="BT248" s="272"/>
      <c r="BU248" s="272"/>
      <c r="BV248" s="272"/>
      <c r="BW248" s="272"/>
    </row>
    <row r="249" spans="1:75" s="183" customFormat="1">
      <c r="A249" s="324"/>
      <c r="D249" s="271"/>
      <c r="E249" s="271"/>
      <c r="F249" s="271"/>
      <c r="G249" s="283"/>
      <c r="H249" s="283"/>
      <c r="I249" s="283"/>
      <c r="J249" s="271"/>
      <c r="K249" s="271"/>
      <c r="L249" s="271"/>
      <c r="M249" s="271"/>
      <c r="N249" s="271"/>
      <c r="O249" s="271"/>
      <c r="P249" s="323"/>
      <c r="Q249" s="271"/>
      <c r="R249" s="271"/>
      <c r="S249" s="271"/>
      <c r="T249" s="271"/>
      <c r="U249" s="272"/>
      <c r="V249" s="272"/>
      <c r="W249" s="272"/>
      <c r="X249" s="272"/>
      <c r="Y249" s="272"/>
      <c r="Z249" s="272"/>
      <c r="AA249" s="272"/>
      <c r="AB249" s="272"/>
      <c r="AC249" s="272"/>
      <c r="AD249" s="272"/>
      <c r="AE249" s="272"/>
      <c r="AF249" s="272"/>
      <c r="AG249" s="272"/>
      <c r="AH249" s="272"/>
      <c r="AI249" s="272"/>
      <c r="AJ249" s="272"/>
      <c r="AK249" s="272"/>
      <c r="AL249" s="272"/>
      <c r="AM249" s="272"/>
      <c r="AN249" s="272"/>
      <c r="AO249" s="272"/>
      <c r="AP249" s="272"/>
      <c r="AQ249" s="272"/>
      <c r="AR249" s="272"/>
      <c r="AS249" s="272"/>
      <c r="AT249" s="272"/>
      <c r="AU249" s="272"/>
      <c r="AV249" s="272"/>
      <c r="AW249" s="272"/>
      <c r="AX249" s="272"/>
      <c r="AY249" s="272"/>
      <c r="AZ249" s="272"/>
      <c r="BA249" s="272"/>
      <c r="BB249" s="272"/>
      <c r="BC249" s="272"/>
      <c r="BD249" s="272"/>
      <c r="BE249" s="272"/>
      <c r="BF249" s="272"/>
      <c r="BG249" s="272"/>
      <c r="BH249" s="272"/>
      <c r="BI249" s="272"/>
      <c r="BJ249" s="272"/>
      <c r="BK249" s="272"/>
      <c r="BL249" s="272"/>
      <c r="BM249" s="272"/>
      <c r="BN249" s="272"/>
      <c r="BO249" s="272"/>
      <c r="BP249" s="272"/>
      <c r="BQ249" s="272"/>
      <c r="BR249" s="272"/>
      <c r="BS249" s="272"/>
      <c r="BT249" s="272"/>
      <c r="BU249" s="272"/>
      <c r="BV249" s="272"/>
      <c r="BW249" s="272"/>
    </row>
    <row r="250" spans="1:75" s="183" customFormat="1">
      <c r="A250" s="324"/>
      <c r="D250" s="271"/>
      <c r="E250" s="271"/>
      <c r="F250" s="271"/>
      <c r="G250" s="283"/>
      <c r="H250" s="283"/>
      <c r="I250" s="283"/>
      <c r="J250" s="271"/>
      <c r="K250" s="271"/>
      <c r="L250" s="271"/>
      <c r="M250" s="271"/>
      <c r="N250" s="271"/>
      <c r="O250" s="271"/>
      <c r="P250" s="323"/>
      <c r="Q250" s="271"/>
      <c r="R250" s="271"/>
      <c r="S250" s="271"/>
      <c r="T250" s="271"/>
      <c r="U250" s="272"/>
      <c r="V250" s="272"/>
      <c r="W250" s="272"/>
      <c r="X250" s="272"/>
      <c r="Y250" s="272"/>
      <c r="Z250" s="272"/>
      <c r="AA250" s="272"/>
      <c r="AB250" s="272"/>
      <c r="AC250" s="272"/>
      <c r="AD250" s="272"/>
      <c r="AE250" s="272"/>
      <c r="AF250" s="272"/>
      <c r="AG250" s="272"/>
      <c r="AH250" s="272"/>
      <c r="AI250" s="272"/>
      <c r="AJ250" s="272"/>
      <c r="AK250" s="272"/>
      <c r="AL250" s="272"/>
      <c r="AM250" s="272"/>
      <c r="AN250" s="272"/>
      <c r="AO250" s="272"/>
      <c r="AP250" s="272"/>
      <c r="AQ250" s="272"/>
      <c r="AR250" s="272"/>
      <c r="AS250" s="272"/>
      <c r="AT250" s="272"/>
      <c r="AU250" s="272"/>
      <c r="AV250" s="272"/>
      <c r="AW250" s="272"/>
      <c r="AX250" s="272"/>
      <c r="AY250" s="272"/>
      <c r="AZ250" s="272"/>
      <c r="BA250" s="272"/>
      <c r="BB250" s="272"/>
      <c r="BC250" s="272"/>
      <c r="BD250" s="272"/>
      <c r="BE250" s="272"/>
      <c r="BF250" s="272"/>
      <c r="BG250" s="272"/>
      <c r="BH250" s="272"/>
      <c r="BI250" s="272"/>
      <c r="BJ250" s="272"/>
      <c r="BK250" s="272"/>
      <c r="BL250" s="272"/>
      <c r="BM250" s="272"/>
      <c r="BN250" s="272"/>
      <c r="BO250" s="272"/>
      <c r="BP250" s="272"/>
      <c r="BQ250" s="272"/>
      <c r="BR250" s="272"/>
      <c r="BS250" s="272"/>
      <c r="BT250" s="272"/>
      <c r="BU250" s="272"/>
      <c r="BV250" s="272"/>
      <c r="BW250" s="272"/>
    </row>
    <row r="251" spans="1:75" s="183" customFormat="1">
      <c r="A251" s="324"/>
      <c r="D251" s="271"/>
      <c r="E251" s="271"/>
      <c r="F251" s="271"/>
      <c r="G251" s="283"/>
      <c r="H251" s="283"/>
      <c r="I251" s="283"/>
      <c r="J251" s="271"/>
      <c r="K251" s="271"/>
      <c r="L251" s="271"/>
      <c r="M251" s="271"/>
      <c r="N251" s="271"/>
      <c r="O251" s="271"/>
      <c r="P251" s="323"/>
      <c r="Q251" s="271"/>
      <c r="R251" s="271"/>
      <c r="S251" s="271"/>
      <c r="T251" s="271"/>
      <c r="U251" s="272"/>
      <c r="V251" s="272"/>
      <c r="W251" s="272"/>
      <c r="X251" s="272"/>
      <c r="Y251" s="272"/>
      <c r="Z251" s="272"/>
      <c r="AA251" s="272"/>
      <c r="AB251" s="272"/>
      <c r="AC251" s="272"/>
      <c r="AD251" s="272"/>
      <c r="AE251" s="272"/>
      <c r="AF251" s="272"/>
      <c r="AG251" s="272"/>
      <c r="AH251" s="272"/>
      <c r="AI251" s="272"/>
      <c r="AJ251" s="272"/>
      <c r="AK251" s="272"/>
      <c r="AL251" s="272"/>
      <c r="AM251" s="272"/>
      <c r="AN251" s="272"/>
      <c r="AO251" s="272"/>
      <c r="AP251" s="272"/>
      <c r="AQ251" s="272"/>
      <c r="AR251" s="272"/>
      <c r="AS251" s="272"/>
      <c r="AT251" s="272"/>
      <c r="AU251" s="272"/>
      <c r="AV251" s="272"/>
      <c r="AW251" s="272"/>
      <c r="AX251" s="272"/>
      <c r="AY251" s="272"/>
      <c r="AZ251" s="272"/>
      <c r="BA251" s="272"/>
      <c r="BB251" s="272"/>
      <c r="BC251" s="272"/>
      <c r="BD251" s="272"/>
      <c r="BE251" s="272"/>
      <c r="BF251" s="272"/>
      <c r="BG251" s="272"/>
      <c r="BH251" s="272"/>
      <c r="BI251" s="272"/>
      <c r="BJ251" s="272"/>
      <c r="BK251" s="272"/>
      <c r="BL251" s="272"/>
      <c r="BM251" s="272"/>
      <c r="BN251" s="272"/>
      <c r="BO251" s="272"/>
      <c r="BP251" s="272"/>
      <c r="BQ251" s="272"/>
      <c r="BR251" s="272"/>
      <c r="BS251" s="272"/>
      <c r="BT251" s="272"/>
      <c r="BU251" s="272"/>
      <c r="BV251" s="272"/>
      <c r="BW251" s="272"/>
    </row>
    <row r="252" spans="1:75" s="183" customFormat="1">
      <c r="A252" s="324"/>
      <c r="D252" s="271"/>
      <c r="E252" s="271"/>
      <c r="F252" s="271"/>
      <c r="G252" s="283"/>
      <c r="H252" s="283"/>
      <c r="I252" s="283"/>
      <c r="J252" s="271"/>
      <c r="K252" s="271"/>
      <c r="L252" s="271"/>
      <c r="M252" s="271"/>
      <c r="N252" s="271"/>
      <c r="O252" s="271"/>
      <c r="P252" s="323"/>
      <c r="Q252" s="271"/>
      <c r="R252" s="271"/>
      <c r="S252" s="271"/>
      <c r="T252" s="271"/>
      <c r="U252" s="272"/>
      <c r="V252" s="272"/>
      <c r="W252" s="272"/>
      <c r="X252" s="272"/>
      <c r="Y252" s="272"/>
      <c r="Z252" s="272"/>
      <c r="AA252" s="272"/>
      <c r="AB252" s="272"/>
      <c r="AC252" s="272"/>
      <c r="AD252" s="272"/>
      <c r="AE252" s="272"/>
      <c r="AF252" s="272"/>
      <c r="AG252" s="272"/>
      <c r="AH252" s="272"/>
      <c r="AI252" s="272"/>
      <c r="AJ252" s="272"/>
      <c r="AK252" s="272"/>
      <c r="AL252" s="272"/>
      <c r="AM252" s="272"/>
      <c r="AN252" s="272"/>
      <c r="AO252" s="272"/>
      <c r="AP252" s="272"/>
      <c r="AQ252" s="272"/>
      <c r="AR252" s="272"/>
      <c r="AS252" s="272"/>
      <c r="AT252" s="272"/>
      <c r="AU252" s="272"/>
      <c r="AV252" s="272"/>
      <c r="AW252" s="272"/>
      <c r="AX252" s="272"/>
      <c r="AY252" s="272"/>
      <c r="AZ252" s="272"/>
      <c r="BA252" s="272"/>
      <c r="BB252" s="272"/>
      <c r="BC252" s="272"/>
      <c r="BD252" s="272"/>
      <c r="BE252" s="272"/>
      <c r="BF252" s="272"/>
      <c r="BG252" s="272"/>
      <c r="BH252" s="272"/>
      <c r="BI252" s="272"/>
      <c r="BJ252" s="272"/>
      <c r="BK252" s="272"/>
      <c r="BL252" s="272"/>
      <c r="BM252" s="272"/>
      <c r="BN252" s="272"/>
      <c r="BO252" s="272"/>
      <c r="BP252" s="272"/>
      <c r="BQ252" s="272"/>
      <c r="BR252" s="272"/>
      <c r="BS252" s="272"/>
      <c r="BT252" s="272"/>
      <c r="BU252" s="272"/>
      <c r="BV252" s="272"/>
      <c r="BW252" s="272"/>
    </row>
    <row r="253" spans="1:75" s="183" customFormat="1">
      <c r="A253" s="324"/>
      <c r="D253" s="271"/>
      <c r="E253" s="271"/>
      <c r="F253" s="271"/>
      <c r="G253" s="283"/>
      <c r="H253" s="283"/>
      <c r="I253" s="283"/>
      <c r="J253" s="271"/>
      <c r="K253" s="271"/>
      <c r="L253" s="271"/>
      <c r="M253" s="271"/>
      <c r="N253" s="271"/>
      <c r="O253" s="271"/>
      <c r="P253" s="323"/>
      <c r="Q253" s="271"/>
      <c r="R253" s="271"/>
      <c r="S253" s="271"/>
      <c r="T253" s="271"/>
      <c r="U253" s="272"/>
      <c r="V253" s="272"/>
      <c r="W253" s="272"/>
      <c r="X253" s="272"/>
      <c r="Y253" s="272"/>
      <c r="Z253" s="272"/>
      <c r="AA253" s="272"/>
      <c r="AB253" s="272"/>
      <c r="AC253" s="272"/>
      <c r="AD253" s="272"/>
      <c r="AE253" s="272"/>
      <c r="AF253" s="272"/>
      <c r="AG253" s="272"/>
      <c r="AH253" s="272"/>
      <c r="AI253" s="272"/>
      <c r="AJ253" s="272"/>
      <c r="AK253" s="272"/>
      <c r="AL253" s="272"/>
      <c r="AM253" s="272"/>
      <c r="AN253" s="272"/>
      <c r="AO253" s="272"/>
      <c r="AP253" s="272"/>
      <c r="AQ253" s="272"/>
      <c r="AR253" s="272"/>
      <c r="AS253" s="272"/>
      <c r="AT253" s="272"/>
      <c r="AU253" s="272"/>
      <c r="AV253" s="272"/>
      <c r="AW253" s="272"/>
      <c r="AX253" s="272"/>
      <c r="AY253" s="272"/>
      <c r="AZ253" s="272"/>
      <c r="BA253" s="272"/>
      <c r="BB253" s="272"/>
      <c r="BC253" s="272"/>
      <c r="BD253" s="272"/>
      <c r="BE253" s="272"/>
      <c r="BF253" s="272"/>
      <c r="BG253" s="272"/>
      <c r="BH253" s="272"/>
      <c r="BI253" s="272"/>
      <c r="BJ253" s="272"/>
      <c r="BK253" s="272"/>
      <c r="BL253" s="272"/>
      <c r="BM253" s="272"/>
      <c r="BN253" s="272"/>
      <c r="BO253" s="272"/>
      <c r="BP253" s="272"/>
      <c r="BQ253" s="272"/>
      <c r="BR253" s="272"/>
      <c r="BS253" s="272"/>
      <c r="BT253" s="272"/>
      <c r="BU253" s="272"/>
      <c r="BV253" s="272"/>
      <c r="BW253" s="272"/>
    </row>
    <row r="254" spans="1:75" s="183" customFormat="1">
      <c r="A254" s="324"/>
      <c r="D254" s="271"/>
      <c r="E254" s="271"/>
      <c r="F254" s="271"/>
      <c r="G254" s="283"/>
      <c r="H254" s="283"/>
      <c r="I254" s="283"/>
      <c r="J254" s="271"/>
      <c r="K254" s="271"/>
      <c r="L254" s="271"/>
      <c r="M254" s="271"/>
      <c r="N254" s="271"/>
      <c r="O254" s="271"/>
      <c r="P254" s="323"/>
      <c r="Q254" s="271"/>
      <c r="R254" s="271"/>
      <c r="S254" s="271"/>
      <c r="T254" s="271"/>
      <c r="U254" s="272"/>
      <c r="V254" s="272"/>
      <c r="W254" s="272"/>
      <c r="X254" s="272"/>
      <c r="Y254" s="272"/>
      <c r="Z254" s="272"/>
      <c r="AA254" s="272"/>
      <c r="AB254" s="272"/>
      <c r="AC254" s="272"/>
      <c r="AD254" s="272"/>
      <c r="AE254" s="272"/>
      <c r="AF254" s="272"/>
      <c r="AG254" s="272"/>
      <c r="AH254" s="272"/>
      <c r="AI254" s="272"/>
      <c r="AJ254" s="272"/>
      <c r="AK254" s="272"/>
      <c r="AL254" s="272"/>
      <c r="AM254" s="272"/>
      <c r="AN254" s="272"/>
      <c r="AO254" s="272"/>
      <c r="AP254" s="272"/>
      <c r="AQ254" s="272"/>
      <c r="AR254" s="272"/>
      <c r="AS254" s="272"/>
      <c r="AT254" s="272"/>
      <c r="AU254" s="272"/>
      <c r="AV254" s="272"/>
      <c r="AW254" s="272"/>
      <c r="AX254" s="272"/>
      <c r="AY254" s="272"/>
      <c r="AZ254" s="272"/>
      <c r="BA254" s="272"/>
      <c r="BB254" s="272"/>
      <c r="BC254" s="272"/>
      <c r="BD254" s="272"/>
      <c r="BE254" s="272"/>
      <c r="BF254" s="272"/>
      <c r="BG254" s="272"/>
      <c r="BH254" s="272"/>
      <c r="BI254" s="272"/>
      <c r="BJ254" s="272"/>
      <c r="BK254" s="272"/>
      <c r="BL254" s="272"/>
      <c r="BM254" s="272"/>
      <c r="BN254" s="272"/>
      <c r="BO254" s="272"/>
      <c r="BP254" s="272"/>
      <c r="BQ254" s="272"/>
      <c r="BR254" s="272"/>
      <c r="BS254" s="272"/>
      <c r="BT254" s="272"/>
      <c r="BU254" s="272"/>
      <c r="BV254" s="272"/>
      <c r="BW254" s="272"/>
    </row>
    <row r="255" spans="1:75" s="183" customFormat="1">
      <c r="A255" s="324"/>
      <c r="D255" s="271"/>
      <c r="E255" s="271"/>
      <c r="F255" s="271"/>
      <c r="G255" s="283"/>
      <c r="H255" s="283"/>
      <c r="I255" s="283"/>
      <c r="J255" s="271"/>
      <c r="K255" s="271"/>
      <c r="L255" s="271"/>
      <c r="M255" s="271"/>
      <c r="N255" s="271"/>
      <c r="O255" s="271"/>
      <c r="P255" s="323"/>
      <c r="Q255" s="271"/>
      <c r="R255" s="271"/>
      <c r="S255" s="271"/>
      <c r="T255" s="271"/>
      <c r="U255" s="272"/>
      <c r="V255" s="272"/>
      <c r="W255" s="272"/>
      <c r="X255" s="272"/>
      <c r="Y255" s="272"/>
      <c r="Z255" s="272"/>
      <c r="AA255" s="272"/>
      <c r="AB255" s="272"/>
      <c r="AC255" s="272"/>
      <c r="AD255" s="272"/>
      <c r="AE255" s="272"/>
      <c r="AF255" s="272"/>
      <c r="AG255" s="272"/>
      <c r="AH255" s="272"/>
      <c r="AI255" s="272"/>
      <c r="AJ255" s="272"/>
      <c r="AK255" s="272"/>
      <c r="AL255" s="272"/>
      <c r="AM255" s="272"/>
      <c r="AN255" s="272"/>
      <c r="AO255" s="272"/>
      <c r="AP255" s="272"/>
      <c r="AQ255" s="272"/>
      <c r="AR255" s="272"/>
      <c r="AS255" s="272"/>
      <c r="AT255" s="272"/>
      <c r="AU255" s="272"/>
      <c r="AV255" s="272"/>
      <c r="AW255" s="272"/>
      <c r="AX255" s="272"/>
      <c r="AY255" s="272"/>
      <c r="AZ255" s="272"/>
      <c r="BA255" s="272"/>
      <c r="BB255" s="272"/>
      <c r="BC255" s="272"/>
      <c r="BD255" s="272"/>
      <c r="BE255" s="272"/>
      <c r="BF255" s="272"/>
      <c r="BG255" s="272"/>
      <c r="BH255" s="272"/>
      <c r="BI255" s="272"/>
      <c r="BJ255" s="272"/>
      <c r="BK255" s="272"/>
      <c r="BL255" s="272"/>
      <c r="BM255" s="272"/>
      <c r="BN255" s="272"/>
      <c r="BO255" s="272"/>
      <c r="BP255" s="272"/>
      <c r="BQ255" s="272"/>
      <c r="BR255" s="272"/>
      <c r="BS255" s="272"/>
      <c r="BT255" s="272"/>
      <c r="BU255" s="272"/>
      <c r="BV255" s="272"/>
      <c r="BW255" s="272"/>
    </row>
    <row r="256" spans="1:75" s="183" customFormat="1">
      <c r="A256" s="324"/>
      <c r="D256" s="271"/>
      <c r="E256" s="271"/>
      <c r="F256" s="271"/>
      <c r="G256" s="283"/>
      <c r="H256" s="283"/>
      <c r="I256" s="283"/>
      <c r="J256" s="271"/>
      <c r="K256" s="271"/>
      <c r="L256" s="271"/>
      <c r="M256" s="271"/>
      <c r="N256" s="271"/>
      <c r="O256" s="271"/>
      <c r="P256" s="323"/>
      <c r="Q256" s="271"/>
      <c r="R256" s="271"/>
      <c r="S256" s="271"/>
      <c r="T256" s="271"/>
      <c r="U256" s="272"/>
      <c r="V256" s="272"/>
      <c r="W256" s="272"/>
      <c r="X256" s="272"/>
      <c r="Y256" s="272"/>
      <c r="Z256" s="272"/>
      <c r="AA256" s="272"/>
      <c r="AB256" s="272"/>
      <c r="AC256" s="272"/>
      <c r="AD256" s="272"/>
      <c r="AE256" s="272"/>
      <c r="AF256" s="272"/>
      <c r="AG256" s="272"/>
      <c r="AH256" s="272"/>
      <c r="AI256" s="272"/>
      <c r="AJ256" s="272"/>
      <c r="AK256" s="272"/>
      <c r="AL256" s="272"/>
      <c r="AM256" s="272"/>
      <c r="AN256" s="272"/>
      <c r="AO256" s="272"/>
      <c r="AP256" s="272"/>
      <c r="AQ256" s="272"/>
      <c r="AR256" s="272"/>
      <c r="AS256" s="272"/>
      <c r="AT256" s="272"/>
      <c r="AU256" s="272"/>
      <c r="AV256" s="272"/>
      <c r="AW256" s="272"/>
      <c r="AX256" s="272"/>
      <c r="AY256" s="272"/>
      <c r="AZ256" s="272"/>
      <c r="BA256" s="272"/>
      <c r="BB256" s="272"/>
      <c r="BC256" s="272"/>
      <c r="BD256" s="272"/>
      <c r="BE256" s="272"/>
      <c r="BF256" s="272"/>
      <c r="BG256" s="272"/>
      <c r="BH256" s="272"/>
      <c r="BI256" s="272"/>
      <c r="BJ256" s="272"/>
      <c r="BK256" s="272"/>
      <c r="BL256" s="272"/>
      <c r="BM256" s="272"/>
      <c r="BN256" s="272"/>
      <c r="BO256" s="272"/>
      <c r="BP256" s="272"/>
      <c r="BQ256" s="272"/>
      <c r="BR256" s="272"/>
      <c r="BS256" s="272"/>
      <c r="BT256" s="272"/>
      <c r="BU256" s="272"/>
      <c r="BV256" s="272"/>
      <c r="BW256" s="272"/>
    </row>
  </sheetData>
  <mergeCells count="12">
    <mergeCell ref="C22:E22"/>
    <mergeCell ref="C23:E23"/>
    <mergeCell ref="C24:E24"/>
    <mergeCell ref="C25:E25"/>
    <mergeCell ref="C14:E14"/>
    <mergeCell ref="C16:E16"/>
    <mergeCell ref="C15:E15"/>
    <mergeCell ref="C17:E17"/>
    <mergeCell ref="C18:E18"/>
    <mergeCell ref="C19:E19"/>
    <mergeCell ref="C20:E20"/>
    <mergeCell ref="C21:E21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0"/>
  <sheetViews>
    <sheetView topLeftCell="A3" workbookViewId="0">
      <selection activeCell="A22" sqref="A22"/>
    </sheetView>
  </sheetViews>
  <sheetFormatPr defaultColWidth="9.109375" defaultRowHeight="13.2"/>
  <cols>
    <col min="1" max="1" width="31.44140625" style="434" customWidth="1"/>
    <col min="2" max="14" width="9.109375" style="436"/>
    <col min="15" max="16384" width="9.109375" style="434"/>
  </cols>
  <sheetData>
    <row r="1" spans="1:12" ht="85.5" customHeight="1">
      <c r="A1" s="401" t="s">
        <v>45</v>
      </c>
    </row>
    <row r="2" spans="1:12">
      <c r="A2" s="395" t="str">
        <f>Início!E10</f>
        <v xml:space="preserve">Tânia </v>
      </c>
      <c r="B2" s="396">
        <f>A10</f>
        <v>123459</v>
      </c>
      <c r="C2" s="396">
        <f>RIGHT(A12,1)+1</f>
        <v>1</v>
      </c>
      <c r="D2" s="395"/>
      <c r="E2" s="395" t="s">
        <v>101</v>
      </c>
      <c r="F2" s="395">
        <f>SMALL(C3:C11,1)</f>
        <v>3</v>
      </c>
      <c r="G2" s="397" t="s">
        <v>102</v>
      </c>
      <c r="H2" s="397" t="s">
        <v>103</v>
      </c>
      <c r="I2" s="395"/>
      <c r="J2" s="395"/>
      <c r="K2" s="395"/>
      <c r="L2" s="395"/>
    </row>
    <row r="3" spans="1:12">
      <c r="A3" s="398">
        <f>LEN(Início!E10)</f>
        <v>6</v>
      </c>
      <c r="B3" s="396">
        <f>A11</f>
        <v>8231</v>
      </c>
      <c r="C3" s="399">
        <f>LEFT(A11,1)+3</f>
        <v>11</v>
      </c>
      <c r="D3" s="395"/>
      <c r="E3" s="395" t="s">
        <v>52</v>
      </c>
      <c r="F3" s="395">
        <f>D9</f>
        <v>9</v>
      </c>
      <c r="G3" s="395"/>
      <c r="H3" s="395"/>
      <c r="I3" s="395"/>
      <c r="J3" s="395"/>
      <c r="K3" s="395"/>
      <c r="L3" s="395"/>
    </row>
    <row r="4" spans="1:12">
      <c r="A4" s="396">
        <f>RIGHT(A14,1)+1</f>
        <v>5</v>
      </c>
      <c r="B4" s="396">
        <f>A12</f>
        <v>131690</v>
      </c>
      <c r="C4" s="396">
        <f>RIGHT(C9,1)+2</f>
        <v>11</v>
      </c>
      <c r="D4" s="395"/>
      <c r="E4" s="395" t="s">
        <v>107</v>
      </c>
      <c r="F4" s="395">
        <f>-F3*F2</f>
        <v>-27</v>
      </c>
      <c r="G4" s="395"/>
      <c r="H4" s="395"/>
      <c r="I4" s="395"/>
      <c r="J4" s="395"/>
      <c r="K4" s="395"/>
      <c r="L4" s="395"/>
    </row>
    <row r="5" spans="1:12">
      <c r="A5" s="399">
        <f>LEFT(A11,1)+1</f>
        <v>9</v>
      </c>
      <c r="B5" s="396" t="str">
        <f>A13</f>
        <v>1234</v>
      </c>
      <c r="C5" s="396">
        <f>LEFT(A11,1)+1</f>
        <v>9</v>
      </c>
      <c r="D5" s="395"/>
      <c r="E5" s="395" t="s">
        <v>100</v>
      </c>
      <c r="F5" s="395">
        <f>C2</f>
        <v>1</v>
      </c>
      <c r="G5" s="395" t="s">
        <v>105</v>
      </c>
      <c r="H5" s="395">
        <f>F5*F3+F4</f>
        <v>-18</v>
      </c>
      <c r="I5" s="395"/>
      <c r="J5" s="395">
        <f>(H6-H5)/(F6-F5)</f>
        <v>9</v>
      </c>
      <c r="K5" s="395"/>
      <c r="L5" s="395"/>
    </row>
    <row r="6" spans="1:12">
      <c r="A6" s="396">
        <f>RIGHT(A11,1)+2</f>
        <v>3</v>
      </c>
      <c r="B6" s="395">
        <f>A5</f>
        <v>9</v>
      </c>
      <c r="C6" s="395">
        <f>A4</f>
        <v>5</v>
      </c>
      <c r="D6" s="395"/>
      <c r="E6" s="395" t="s">
        <v>104</v>
      </c>
      <c r="F6" s="400">
        <f>C3</f>
        <v>11</v>
      </c>
      <c r="G6" s="395" t="s">
        <v>106</v>
      </c>
      <c r="H6" s="395">
        <f>F6*F3+F4</f>
        <v>72</v>
      </c>
      <c r="I6" s="395"/>
      <c r="J6" s="395">
        <f>H6-F3*F6</f>
        <v>-27</v>
      </c>
      <c r="K6" s="395"/>
      <c r="L6" s="395"/>
    </row>
    <row r="7" spans="1:12">
      <c r="A7" s="396">
        <f>RIGHT(A10,2)+1</f>
        <v>60</v>
      </c>
      <c r="B7" s="395">
        <f>A6</f>
        <v>3</v>
      </c>
      <c r="C7" s="395">
        <f>A7</f>
        <v>60</v>
      </c>
      <c r="D7" s="395"/>
      <c r="E7" s="395"/>
      <c r="F7" s="395"/>
      <c r="G7" s="395"/>
      <c r="H7" s="395"/>
      <c r="I7" s="395"/>
      <c r="J7" s="395"/>
      <c r="K7" s="395"/>
      <c r="L7" s="395"/>
    </row>
    <row r="8" spans="1:12">
      <c r="A8" s="396" t="str">
        <f>RIGHT(A12,2)</f>
        <v>90</v>
      </c>
      <c r="B8" s="395" t="str">
        <f>A8</f>
        <v>90</v>
      </c>
      <c r="C8" s="395">
        <f>A4</f>
        <v>5</v>
      </c>
      <c r="D8" s="395"/>
      <c r="E8" s="395"/>
      <c r="F8" s="395"/>
      <c r="G8" s="395"/>
      <c r="H8" s="395"/>
      <c r="I8" s="398"/>
      <c r="J8" s="395"/>
      <c r="K8" s="395"/>
      <c r="L8" s="395"/>
    </row>
    <row r="9" spans="1:12">
      <c r="A9" s="395"/>
      <c r="B9" s="395">
        <f>A6</f>
        <v>3</v>
      </c>
      <c r="C9" s="395">
        <f>A5</f>
        <v>9</v>
      </c>
      <c r="D9" s="395">
        <f>(-1)^B8*C9</f>
        <v>9</v>
      </c>
      <c r="E9" s="395"/>
      <c r="F9" s="395"/>
      <c r="G9" s="395"/>
      <c r="H9" s="400" t="s">
        <v>37</v>
      </c>
      <c r="I9" s="398">
        <v>2</v>
      </c>
      <c r="J9" s="395"/>
      <c r="K9" s="395"/>
      <c r="L9" s="395"/>
    </row>
    <row r="10" spans="1:12">
      <c r="A10" s="396">
        <f>Início!E12+3</f>
        <v>123459</v>
      </c>
      <c r="B10" s="395">
        <f>A7</f>
        <v>60</v>
      </c>
      <c r="C10" s="395">
        <f>A6</f>
        <v>3</v>
      </c>
      <c r="D10" s="395"/>
      <c r="E10" s="400" t="s">
        <v>101</v>
      </c>
      <c r="F10" s="398">
        <f>F11+4</f>
        <v>13</v>
      </c>
      <c r="G10" s="395"/>
      <c r="H10" s="400" t="s">
        <v>34</v>
      </c>
      <c r="I10" s="398">
        <f>-2*(F10+F11)</f>
        <v>-44</v>
      </c>
      <c r="J10" s="395"/>
      <c r="K10" s="395"/>
      <c r="L10" s="395"/>
    </row>
    <row r="11" spans="1:12">
      <c r="A11" s="396">
        <f>ROUND(A10/(3*5),0)</f>
        <v>8231</v>
      </c>
      <c r="B11" s="395" t="str">
        <f>RIGHT(A9,1)</f>
        <v/>
      </c>
      <c r="C11" s="395">
        <f>A7</f>
        <v>60</v>
      </c>
      <c r="D11" s="395"/>
      <c r="E11" s="400" t="s">
        <v>108</v>
      </c>
      <c r="F11" s="398">
        <f>C5</f>
        <v>9</v>
      </c>
      <c r="G11" s="395"/>
      <c r="H11" s="400" t="s">
        <v>109</v>
      </c>
      <c r="I11" s="398">
        <f>2*F10*F11</f>
        <v>234</v>
      </c>
      <c r="J11" s="395"/>
      <c r="K11" s="395"/>
      <c r="L11" s="395"/>
    </row>
    <row r="12" spans="1:12">
      <c r="A12" s="395">
        <f>A10+A11</f>
        <v>131690</v>
      </c>
      <c r="B12" s="395"/>
      <c r="C12" s="395" t="str">
        <f>A8</f>
        <v>90</v>
      </c>
      <c r="D12" s="395"/>
      <c r="E12" s="400"/>
      <c r="F12" s="395"/>
      <c r="G12" s="395"/>
      <c r="H12" s="395"/>
      <c r="I12" s="395"/>
      <c r="J12" s="395"/>
      <c r="K12" s="395"/>
      <c r="L12" s="395"/>
    </row>
    <row r="13" spans="1:12">
      <c r="A13" s="396" t="str">
        <f>LEFT(A10,4)</f>
        <v>1234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</row>
    <row r="14" spans="1:12">
      <c r="A14" s="396">
        <f>A7+A13</f>
        <v>1294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</row>
    <row r="15" spans="1:12">
      <c r="A15" s="395"/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</row>
    <row r="16" spans="1:12">
      <c r="A16" s="435"/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</row>
    <row r="17" spans="1:12">
      <c r="A17" s="435"/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5"/>
    </row>
    <row r="20" spans="1:12" ht="15.6">
      <c r="B20" s="4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265"/>
  <sheetViews>
    <sheetView workbookViewId="0">
      <selection activeCell="N9" sqref="N9"/>
    </sheetView>
  </sheetViews>
  <sheetFormatPr defaultColWidth="9.109375" defaultRowHeight="19.5" customHeight="1"/>
  <cols>
    <col min="1" max="1" width="1.109375" style="534" customWidth="1"/>
    <col min="2" max="2" width="1.44140625" style="535" customWidth="1"/>
    <col min="3" max="3" width="2.44140625" style="534" customWidth="1"/>
    <col min="4" max="4" width="5.5546875" style="534" customWidth="1"/>
    <col min="5" max="5" width="9.33203125" style="534" customWidth="1"/>
    <col min="6" max="6" width="12" style="534" customWidth="1"/>
    <col min="7" max="8" width="5.88671875" style="534" customWidth="1"/>
    <col min="9" max="9" width="8.109375" style="534" customWidth="1"/>
    <col min="10" max="10" width="1.88671875" style="534" customWidth="1"/>
    <col min="11" max="11" width="5.5546875" style="534" customWidth="1"/>
    <col min="12" max="12" width="1.6640625" style="534" customWidth="1"/>
    <col min="13" max="13" width="5.5546875" style="534" customWidth="1"/>
    <col min="14" max="14" width="2.44140625" style="534" customWidth="1"/>
    <col min="15" max="15" width="3.6640625" style="403" customWidth="1"/>
    <col min="16" max="16" width="4.109375" style="403" customWidth="1"/>
    <col min="17" max="17" width="4" style="403" customWidth="1"/>
    <col min="18" max="18" width="4.88671875" style="403" customWidth="1"/>
    <col min="19" max="23" width="9.109375" style="534"/>
    <col min="24" max="24" width="5" style="534" customWidth="1"/>
    <col min="25" max="25" width="9.33203125" style="534" customWidth="1"/>
    <col min="26" max="26" width="2" style="534" customWidth="1"/>
    <col min="27" max="27" width="1.44140625" style="1" customWidth="1"/>
    <col min="28" max="33" width="9.109375" style="406"/>
    <col min="34" max="16384" width="9.109375" style="534"/>
  </cols>
  <sheetData>
    <row r="1" spans="1:61" ht="9" customHeight="1">
      <c r="B1" s="534"/>
      <c r="AA1" s="534"/>
    </row>
    <row r="2" spans="1:61" s="1" customFormat="1" ht="9" customHeight="1">
      <c r="A2" s="534"/>
      <c r="B2" s="535"/>
      <c r="O2" s="462"/>
      <c r="P2" s="462"/>
      <c r="Q2" s="462"/>
      <c r="R2" s="462"/>
      <c r="AB2" s="406"/>
      <c r="AC2" s="406"/>
      <c r="AD2" s="406"/>
      <c r="AE2" s="406"/>
      <c r="AF2" s="406"/>
      <c r="AG2" s="406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</row>
    <row r="3" spans="1:61" ht="8.25" customHeight="1"/>
    <row r="4" spans="1:61" s="537" customFormat="1" ht="16.5" customHeight="1">
      <c r="B4" s="538"/>
      <c r="D4" s="498"/>
      <c r="E4" s="625" t="str">
        <f>CONCATENATE("Determine os valores de x e y para a função ",F10,G10,H10,I10)</f>
        <v>Determine os valores de x e y para a função  y= 2x + 6</v>
      </c>
      <c r="F4" s="498"/>
      <c r="G4" s="498"/>
      <c r="H4" s="498"/>
      <c r="I4" s="498"/>
      <c r="J4" s="498"/>
      <c r="K4" s="498"/>
      <c r="L4" s="498"/>
      <c r="M4" s="498"/>
      <c r="N4" s="625"/>
      <c r="O4" s="625" t="s">
        <v>214</v>
      </c>
      <c r="P4" s="625"/>
      <c r="Q4" s="625"/>
      <c r="R4" s="625"/>
      <c r="S4" s="625"/>
      <c r="T4" s="625"/>
      <c r="U4" s="625"/>
      <c r="V4" s="625"/>
      <c r="W4" s="625"/>
      <c r="X4" s="625"/>
      <c r="Y4" s="625"/>
      <c r="AA4" s="498"/>
      <c r="AB4" s="543"/>
      <c r="AC4" s="543"/>
      <c r="AD4" s="543"/>
      <c r="AE4" s="543"/>
      <c r="AF4" s="543"/>
      <c r="AG4" s="543"/>
    </row>
    <row r="5" spans="1:61" s="537" customFormat="1" ht="16.5" customHeight="1">
      <c r="B5" s="538"/>
      <c r="D5" s="498"/>
      <c r="E5" s="625" t="s">
        <v>183</v>
      </c>
      <c r="F5" s="498"/>
      <c r="G5" s="498"/>
      <c r="H5" s="498"/>
      <c r="I5" s="498"/>
      <c r="J5" s="498"/>
      <c r="K5" s="498"/>
      <c r="L5" s="498"/>
      <c r="M5" s="498"/>
      <c r="N5" s="498"/>
      <c r="O5" s="508"/>
      <c r="P5" s="508"/>
      <c r="Q5" s="508"/>
      <c r="R5" s="508"/>
      <c r="S5" s="498"/>
      <c r="T5" s="498"/>
      <c r="U5" s="498"/>
      <c r="V5" s="498"/>
      <c r="W5" s="498"/>
      <c r="X5" s="498"/>
      <c r="Y5" s="498"/>
      <c r="AA5" s="498"/>
      <c r="AB5" s="543"/>
      <c r="AC5" s="543"/>
      <c r="AD5" s="543"/>
      <c r="AE5" s="543"/>
      <c r="AF5" s="543"/>
      <c r="AG5" s="543"/>
    </row>
    <row r="6" spans="1:61" s="537" customFormat="1" ht="15" customHeight="1">
      <c r="B6" s="538"/>
      <c r="D6" s="498"/>
      <c r="E6" s="703" t="s">
        <v>215</v>
      </c>
      <c r="F6" s="498"/>
      <c r="G6" s="498"/>
      <c r="H6" s="498"/>
      <c r="I6" s="498"/>
      <c r="J6" s="498"/>
      <c r="K6" s="498"/>
      <c r="L6" s="498"/>
      <c r="M6" s="498"/>
      <c r="N6" s="498"/>
      <c r="O6" s="508"/>
      <c r="P6" s="508"/>
      <c r="Q6" s="508"/>
      <c r="R6" s="508"/>
      <c r="S6" s="498"/>
      <c r="T6" s="498"/>
      <c r="U6" s="498"/>
      <c r="V6" s="498"/>
      <c r="W6" s="498"/>
      <c r="X6" s="498"/>
      <c r="Y6" s="498"/>
      <c r="AA6" s="498"/>
      <c r="AB6" s="543"/>
      <c r="AC6" s="543"/>
      <c r="AD6" s="543"/>
      <c r="AE6" s="543"/>
      <c r="AF6" s="543"/>
      <c r="AG6" s="539" t="str">
        <f>IF(I10&gt;0," + ",IF(I10&lt;0,"  ",""))</f>
        <v xml:space="preserve"> + </v>
      </c>
    </row>
    <row r="7" spans="1:61" s="537" customFormat="1" ht="16.5" customHeight="1">
      <c r="B7" s="538"/>
      <c r="D7" s="498"/>
      <c r="E7" s="703" t="s">
        <v>216</v>
      </c>
      <c r="F7" s="498"/>
      <c r="G7" s="498"/>
      <c r="H7" s="498"/>
      <c r="I7" s="498"/>
      <c r="J7" s="498"/>
      <c r="K7" s="498"/>
      <c r="L7" s="498"/>
      <c r="M7" s="498"/>
      <c r="N7" s="498"/>
      <c r="O7" s="508"/>
      <c r="P7" s="508"/>
      <c r="Q7" s="508"/>
      <c r="R7" s="508"/>
      <c r="S7" s="498"/>
      <c r="T7" s="498"/>
      <c r="U7" s="498"/>
      <c r="V7" s="498"/>
      <c r="W7" s="498"/>
      <c r="X7" s="498"/>
      <c r="Y7" s="498"/>
      <c r="AA7" s="498"/>
      <c r="AB7" s="543"/>
      <c r="AC7" s="543"/>
      <c r="AD7" s="543"/>
      <c r="AE7" s="543"/>
      <c r="AF7" s="543"/>
      <c r="AG7" s="543"/>
    </row>
    <row r="8" spans="1:61" s="537" customFormat="1" ht="16.5" customHeight="1">
      <c r="B8" s="538"/>
      <c r="D8" s="498"/>
      <c r="E8" s="625" t="s">
        <v>213</v>
      </c>
      <c r="F8" s="498"/>
      <c r="G8" s="498"/>
      <c r="H8" s="498"/>
      <c r="I8" s="498"/>
      <c r="J8" s="498"/>
      <c r="K8" s="498"/>
      <c r="L8" s="498"/>
      <c r="M8" s="498"/>
      <c r="N8" s="498"/>
      <c r="O8" s="508"/>
      <c r="P8" s="508"/>
      <c r="Q8" s="508"/>
      <c r="R8" s="508"/>
      <c r="S8" s="498"/>
      <c r="T8" s="498"/>
      <c r="U8" s="498"/>
      <c r="V8" s="498"/>
      <c r="W8" s="498"/>
      <c r="X8" s="498"/>
      <c r="Y8" s="498"/>
      <c r="AA8" s="498"/>
      <c r="AB8" s="543"/>
      <c r="AC8" s="543"/>
      <c r="AD8" s="543"/>
      <c r="AE8" s="543"/>
      <c r="AF8" s="543"/>
      <c r="AG8" s="543"/>
    </row>
    <row r="9" spans="1:61" s="537" customFormat="1" ht="15.75" customHeight="1">
      <c r="B9" s="538"/>
      <c r="D9" s="498"/>
      <c r="E9" s="625" t="s">
        <v>181</v>
      </c>
      <c r="F9" s="498"/>
      <c r="G9" s="508"/>
      <c r="H9" s="508"/>
      <c r="I9" s="511" t="s">
        <v>172</v>
      </c>
      <c r="J9" s="511"/>
      <c r="K9" s="508"/>
      <c r="L9" s="498"/>
      <c r="M9" s="498"/>
      <c r="N9" s="498"/>
      <c r="O9" s="508"/>
      <c r="P9" s="508"/>
      <c r="Q9" s="508"/>
      <c r="R9" s="508"/>
      <c r="S9" s="498"/>
      <c r="T9" s="498"/>
      <c r="U9" s="498"/>
      <c r="V9" s="498"/>
      <c r="W9" s="498"/>
      <c r="X9" s="498"/>
      <c r="Y9" s="498"/>
      <c r="AA9" s="498"/>
      <c r="AB9" s="543"/>
      <c r="AC9" s="543"/>
      <c r="AD9" s="543"/>
      <c r="AE9" s="543"/>
      <c r="AF9" s="543"/>
      <c r="AG9" s="543"/>
    </row>
    <row r="10" spans="1:61" s="537" customFormat="1" ht="15.75" customHeight="1">
      <c r="B10" s="538"/>
      <c r="D10" s="498"/>
      <c r="E10" s="498"/>
      <c r="F10" s="550" t="s">
        <v>212</v>
      </c>
      <c r="G10" s="566">
        <v>2</v>
      </c>
      <c r="H10" s="567" t="s">
        <v>171</v>
      </c>
      <c r="I10" s="568">
        <f>Início!I10</f>
        <v>6</v>
      </c>
      <c r="J10" s="565"/>
      <c r="K10" s="626" t="s">
        <v>182</v>
      </c>
      <c r="L10" s="498"/>
      <c r="M10" s="546"/>
      <c r="N10" s="546"/>
      <c r="O10" s="525"/>
      <c r="P10" s="508"/>
      <c r="Q10" s="508"/>
      <c r="R10" s="508"/>
      <c r="S10" s="498"/>
      <c r="T10" s="498"/>
      <c r="U10" s="498"/>
      <c r="V10" s="498"/>
      <c r="W10" s="498"/>
      <c r="X10" s="498"/>
      <c r="Y10" s="498"/>
      <c r="AA10" s="498"/>
      <c r="AB10" s="543"/>
      <c r="AC10" s="543"/>
      <c r="AD10" s="543"/>
      <c r="AE10" s="543"/>
      <c r="AF10" s="543"/>
      <c r="AG10" s="543"/>
    </row>
    <row r="11" spans="1:61" s="537" customFormat="1" ht="11.25" customHeight="1">
      <c r="B11" s="538"/>
      <c r="D11" s="498"/>
      <c r="E11" s="498"/>
      <c r="F11" s="550"/>
      <c r="G11" s="550"/>
      <c r="H11" s="550"/>
      <c r="I11" s="550"/>
      <c r="J11" s="702"/>
      <c r="K11" s="702"/>
      <c r="L11" s="659"/>
      <c r="M11" s="659"/>
      <c r="N11" s="659"/>
      <c r="O11" s="525"/>
      <c r="P11" s="508"/>
      <c r="Q11" s="508"/>
      <c r="R11" s="508"/>
      <c r="S11" s="498"/>
      <c r="T11" s="498"/>
      <c r="U11" s="498"/>
      <c r="V11" s="498"/>
      <c r="W11" s="498"/>
      <c r="X11" s="498"/>
      <c r="Y11" s="498"/>
      <c r="AA11" s="498"/>
      <c r="AB11" s="543"/>
      <c r="AC11" s="543"/>
      <c r="AD11" s="543"/>
      <c r="AE11" s="543"/>
      <c r="AF11" s="543"/>
      <c r="AG11" s="543"/>
    </row>
    <row r="12" spans="1:61" ht="15.75" customHeight="1" thickBot="1">
      <c r="D12" s="1"/>
      <c r="E12" s="627" t="s">
        <v>82</v>
      </c>
      <c r="F12" s="509"/>
      <c r="G12" s="462"/>
      <c r="H12" s="1"/>
      <c r="I12" s="560"/>
      <c r="J12" s="603"/>
      <c r="K12" s="590" t="s">
        <v>184</v>
      </c>
      <c r="L12" s="551"/>
      <c r="M12" s="551"/>
      <c r="N12" s="604"/>
      <c r="O12" s="462"/>
      <c r="P12" s="462"/>
      <c r="Q12" s="462"/>
      <c r="R12" s="462"/>
      <c r="S12" s="1"/>
      <c r="T12" s="1"/>
      <c r="U12" s="1"/>
      <c r="V12" s="1"/>
      <c r="W12" s="1"/>
      <c r="X12" s="1"/>
      <c r="Y12" s="1"/>
      <c r="AC12" s="543"/>
      <c r="AD12" s="543"/>
    </row>
    <row r="13" spans="1:61" ht="15.75" customHeight="1" thickBot="1">
      <c r="D13" s="1"/>
      <c r="E13" s="564" t="s">
        <v>1</v>
      </c>
      <c r="F13" s="570" t="str">
        <f>CONCATENATE(F10,G10,H10,I10)</f>
        <v xml:space="preserve"> y= 2x + 6</v>
      </c>
      <c r="G13" s="623"/>
      <c r="H13" s="1"/>
      <c r="I13" s="560"/>
      <c r="J13" s="605" t="str">
        <f>IF(H14="Correta!","(","")</f>
        <v>(</v>
      </c>
      <c r="K13" s="606" t="str">
        <f>IF(H14="Correta!","x","")</f>
        <v>x</v>
      </c>
      <c r="L13" s="607" t="str">
        <f>IF(ISNUMBER(K14),";","")</f>
        <v>;</v>
      </c>
      <c r="M13" s="608" t="str">
        <f>IF(ISNUMBER(K14),"y","")</f>
        <v>y</v>
      </c>
      <c r="N13" s="609" t="str">
        <f>IF(H14="Correta!",")","")</f>
        <v>)</v>
      </c>
      <c r="O13" s="462"/>
      <c r="P13" s="462"/>
      <c r="Q13" s="462"/>
      <c r="R13" s="462"/>
      <c r="S13" s="1"/>
      <c r="T13" s="1"/>
      <c r="U13" s="1"/>
      <c r="V13" s="1"/>
      <c r="W13" s="1"/>
      <c r="X13" s="1"/>
      <c r="Y13" s="1"/>
      <c r="AC13" s="543"/>
      <c r="AD13" s="543"/>
    </row>
    <row r="14" spans="1:61" ht="15.75" customHeight="1">
      <c r="D14" s="703" t="s">
        <v>217</v>
      </c>
      <c r="E14" s="562">
        <v>1</v>
      </c>
      <c r="F14" s="602">
        <v>8</v>
      </c>
      <c r="G14" s="703" t="s">
        <v>218</v>
      </c>
      <c r="H14" s="559" t="str">
        <f>IF(ISNUMBER(F14),IF(ABS(F14-(G$10*E14+I$10))&gt;0.01,"*","Correta!"),"")</f>
        <v>Correta!</v>
      </c>
      <c r="I14" s="1"/>
      <c r="J14" s="610" t="str">
        <f t="shared" ref="J14:J22" si="0">IF(H14="Correta!","(","")</f>
        <v>(</v>
      </c>
      <c r="K14" s="611">
        <f t="shared" ref="K14:K22" si="1">IF(H14="Correta!",E14,"")</f>
        <v>1</v>
      </c>
      <c r="L14" s="513" t="str">
        <f>IF(ISNUMBER(K14),";","")</f>
        <v>;</v>
      </c>
      <c r="M14" s="601">
        <f>IF(ISNUMBER(K14),F14,"")</f>
        <v>8</v>
      </c>
      <c r="N14" s="452" t="str">
        <f>IF(J14="(",")","")</f>
        <v>)</v>
      </c>
      <c r="O14" s="462"/>
      <c r="P14" s="540"/>
      <c r="Q14" s="462"/>
      <c r="R14" s="540"/>
      <c r="S14" s="540"/>
      <c r="T14" s="1"/>
      <c r="U14" s="1"/>
      <c r="V14" s="1"/>
      <c r="W14" s="1"/>
      <c r="X14" s="1"/>
      <c r="Y14" s="1"/>
      <c r="AC14" s="543"/>
      <c r="AD14" s="543"/>
    </row>
    <row r="15" spans="1:61" ht="15.75" customHeight="1">
      <c r="D15" s="703" t="s">
        <v>217</v>
      </c>
      <c r="E15" s="563"/>
      <c r="F15" s="602"/>
      <c r="G15" s="703" t="s">
        <v>218</v>
      </c>
      <c r="H15" s="559" t="str">
        <f>IF(ISNUMBER(F15),IF(ABS(F15-(G$10*E15+I$10))&gt;0.01,"**","Correta!"),"")</f>
        <v/>
      </c>
      <c r="I15" s="1"/>
      <c r="J15" s="612" t="str">
        <f t="shared" si="0"/>
        <v/>
      </c>
      <c r="K15" s="555" t="str">
        <f t="shared" si="1"/>
        <v/>
      </c>
      <c r="L15" s="462" t="str">
        <f t="shared" ref="L15:L22" si="2">IF(ISNUMBER(K15),";","")</f>
        <v/>
      </c>
      <c r="M15" s="556" t="str">
        <f t="shared" ref="M15:M22" si="3">IF(ISNUMBER(K15),F15,"")</f>
        <v/>
      </c>
      <c r="N15" s="453" t="str">
        <f t="shared" ref="N15:N22" si="4">IF(J15="(",")","")</f>
        <v/>
      </c>
      <c r="O15" s="462"/>
      <c r="P15" s="462"/>
      <c r="Q15" s="462"/>
      <c r="R15" s="462"/>
      <c r="S15" s="1"/>
      <c r="T15" s="1"/>
      <c r="U15" s="1"/>
      <c r="V15" s="1"/>
      <c r="W15" s="1"/>
      <c r="X15" s="1"/>
      <c r="Y15" s="1"/>
      <c r="AC15" s="543"/>
      <c r="AD15" s="543"/>
    </row>
    <row r="16" spans="1:61" ht="15.75" customHeight="1">
      <c r="D16" s="703" t="s">
        <v>217</v>
      </c>
      <c r="E16" s="563"/>
      <c r="F16" s="602"/>
      <c r="G16" s="703" t="s">
        <v>218</v>
      </c>
      <c r="H16" s="559" t="str">
        <f>IF(ISNUMBER(F16),IF(ABS(F16-(G$10*E16+I$10))&gt;0.01,"***","Correta!"),"")</f>
        <v/>
      </c>
      <c r="I16" s="1"/>
      <c r="J16" s="612" t="str">
        <f t="shared" si="0"/>
        <v/>
      </c>
      <c r="K16" s="555" t="str">
        <f t="shared" si="1"/>
        <v/>
      </c>
      <c r="L16" s="462" t="str">
        <f t="shared" si="2"/>
        <v/>
      </c>
      <c r="M16" s="556" t="str">
        <f t="shared" si="3"/>
        <v/>
      </c>
      <c r="N16" s="453" t="str">
        <f t="shared" si="4"/>
        <v/>
      </c>
      <c r="O16" s="462"/>
      <c r="P16" s="462"/>
      <c r="Q16" s="462"/>
      <c r="R16" s="462"/>
      <c r="S16" s="1"/>
      <c r="T16" s="1"/>
      <c r="U16" s="1"/>
      <c r="V16" s="1"/>
      <c r="W16" s="1"/>
      <c r="X16" s="1"/>
      <c r="Y16" s="1"/>
      <c r="AC16" s="543"/>
      <c r="AD16" s="543"/>
    </row>
    <row r="17" spans="2:30" ht="15.75" customHeight="1">
      <c r="D17" s="703" t="s">
        <v>217</v>
      </c>
      <c r="E17" s="563" t="str">
        <f>IF(E16&lt;&gt;"",E16+(E16-E15),"")</f>
        <v/>
      </c>
      <c r="F17" s="602" t="str">
        <f t="shared" ref="F17:F20" si="5">IF(AND(ISNUMBER(E16),ISNUMBER(F16),ISNUMBER(E17)),G$10*E17+I$10,"")</f>
        <v/>
      </c>
      <c r="G17" s="703" t="s">
        <v>218</v>
      </c>
      <c r="H17" s="559" t="str">
        <f t="shared" ref="H17:H22" si="6">IF(ISNUMBER(F17),IF(ABS(F17-(G$10*E17+I$10))&gt;0.01,"**","Correta!"),"")</f>
        <v/>
      </c>
      <c r="I17" s="1"/>
      <c r="J17" s="612" t="str">
        <f t="shared" si="0"/>
        <v/>
      </c>
      <c r="K17" s="555" t="str">
        <f t="shared" si="1"/>
        <v/>
      </c>
      <c r="L17" s="462" t="str">
        <f t="shared" si="2"/>
        <v/>
      </c>
      <c r="M17" s="556" t="str">
        <f t="shared" si="3"/>
        <v/>
      </c>
      <c r="N17" s="453" t="str">
        <f t="shared" si="4"/>
        <v/>
      </c>
      <c r="O17" s="462"/>
      <c r="P17" s="462"/>
      <c r="Q17" s="462"/>
      <c r="R17" s="462"/>
      <c r="S17" s="1"/>
      <c r="T17" s="1"/>
      <c r="U17" s="1"/>
      <c r="V17" s="1"/>
      <c r="W17" s="1"/>
      <c r="X17" s="1"/>
      <c r="Y17" s="1"/>
      <c r="AC17" s="543" t="str">
        <f t="shared" ref="AC17:AC22" si="7">F17</f>
        <v/>
      </c>
      <c r="AD17" s="543"/>
    </row>
    <row r="18" spans="2:30" ht="15.75" customHeight="1">
      <c r="D18" s="703" t="s">
        <v>217</v>
      </c>
      <c r="E18" s="563" t="str">
        <f t="shared" ref="E18:E22" si="8">IF(E17&lt;&gt;"",E17+(E17-E16),"")</f>
        <v/>
      </c>
      <c r="F18" s="602" t="str">
        <f t="shared" si="5"/>
        <v/>
      </c>
      <c r="G18" s="703" t="s">
        <v>218</v>
      </c>
      <c r="H18" s="559" t="str">
        <f t="shared" si="6"/>
        <v/>
      </c>
      <c r="I18" s="1"/>
      <c r="J18" s="612" t="str">
        <f t="shared" si="0"/>
        <v/>
      </c>
      <c r="K18" s="555" t="str">
        <f t="shared" si="1"/>
        <v/>
      </c>
      <c r="L18" s="462" t="str">
        <f t="shared" si="2"/>
        <v/>
      </c>
      <c r="M18" s="556" t="str">
        <f t="shared" si="3"/>
        <v/>
      </c>
      <c r="N18" s="453" t="str">
        <f t="shared" si="4"/>
        <v/>
      </c>
      <c r="O18" s="462"/>
      <c r="P18" s="462"/>
      <c r="Q18" s="462"/>
      <c r="R18" s="462"/>
      <c r="S18" s="1"/>
      <c r="T18" s="1"/>
      <c r="U18" s="1"/>
      <c r="V18" s="1"/>
      <c r="W18" s="1"/>
      <c r="X18" s="1"/>
      <c r="Y18" s="1"/>
      <c r="AC18" s="543" t="str">
        <f t="shared" si="7"/>
        <v/>
      </c>
      <c r="AD18" s="543"/>
    </row>
    <row r="19" spans="2:30" ht="15.75" customHeight="1">
      <c r="D19" s="703" t="s">
        <v>217</v>
      </c>
      <c r="E19" s="563" t="str">
        <f t="shared" si="8"/>
        <v/>
      </c>
      <c r="F19" s="602" t="str">
        <f t="shared" si="5"/>
        <v/>
      </c>
      <c r="G19" s="703" t="s">
        <v>218</v>
      </c>
      <c r="H19" s="559" t="str">
        <f t="shared" si="6"/>
        <v/>
      </c>
      <c r="I19" s="1"/>
      <c r="J19" s="612" t="str">
        <f t="shared" si="0"/>
        <v/>
      </c>
      <c r="K19" s="555" t="str">
        <f t="shared" si="1"/>
        <v/>
      </c>
      <c r="L19" s="462" t="str">
        <f t="shared" si="2"/>
        <v/>
      </c>
      <c r="M19" s="556" t="str">
        <f t="shared" si="3"/>
        <v/>
      </c>
      <c r="N19" s="453" t="str">
        <f t="shared" si="4"/>
        <v/>
      </c>
      <c r="O19" s="462"/>
      <c r="P19" s="462"/>
      <c r="Q19" s="462"/>
      <c r="R19" s="462"/>
      <c r="S19" s="1"/>
      <c r="T19" s="1"/>
      <c r="U19" s="1"/>
      <c r="V19" s="1"/>
      <c r="W19" s="1"/>
      <c r="X19" s="1"/>
      <c r="Y19" s="1"/>
      <c r="AC19" s="543" t="str">
        <f t="shared" si="7"/>
        <v/>
      </c>
      <c r="AD19" s="543"/>
    </row>
    <row r="20" spans="2:30" ht="15.75" customHeight="1">
      <c r="D20" s="703" t="s">
        <v>217</v>
      </c>
      <c r="E20" s="563" t="str">
        <f t="shared" si="8"/>
        <v/>
      </c>
      <c r="F20" s="602" t="str">
        <f t="shared" si="5"/>
        <v/>
      </c>
      <c r="G20" s="703" t="s">
        <v>218</v>
      </c>
      <c r="H20" s="559" t="str">
        <f t="shared" si="6"/>
        <v/>
      </c>
      <c r="I20" s="1"/>
      <c r="J20" s="612" t="str">
        <f t="shared" si="0"/>
        <v/>
      </c>
      <c r="K20" s="555" t="str">
        <f t="shared" si="1"/>
        <v/>
      </c>
      <c r="L20" s="462" t="str">
        <f t="shared" si="2"/>
        <v/>
      </c>
      <c r="M20" s="556" t="str">
        <f t="shared" si="3"/>
        <v/>
      </c>
      <c r="N20" s="453" t="str">
        <f t="shared" si="4"/>
        <v/>
      </c>
      <c r="O20" s="462"/>
      <c r="P20" s="462"/>
      <c r="Q20" s="462"/>
      <c r="R20" s="462"/>
      <c r="S20" s="1"/>
      <c r="T20" s="1"/>
      <c r="U20" s="1"/>
      <c r="V20" s="1"/>
      <c r="W20" s="1"/>
      <c r="X20" s="1"/>
      <c r="Y20" s="1"/>
      <c r="AC20" s="543" t="str">
        <f t="shared" si="7"/>
        <v/>
      </c>
      <c r="AD20" s="543"/>
    </row>
    <row r="21" spans="2:30" ht="15.75" customHeight="1">
      <c r="D21" s="703" t="s">
        <v>217</v>
      </c>
      <c r="E21" s="563" t="str">
        <f t="shared" si="8"/>
        <v/>
      </c>
      <c r="F21" s="602" t="str">
        <f t="shared" ref="F21:F22" si="9">IF(AND(ISNUMBER(E20),ISNUMBER(F20),ISNUMBER(E21)),G$10*E21+I$10,"")</f>
        <v/>
      </c>
      <c r="G21" s="703" t="s">
        <v>218</v>
      </c>
      <c r="H21" s="559" t="str">
        <f t="shared" si="6"/>
        <v/>
      </c>
      <c r="I21" s="1"/>
      <c r="J21" s="612" t="str">
        <f t="shared" si="0"/>
        <v/>
      </c>
      <c r="K21" s="555" t="str">
        <f t="shared" si="1"/>
        <v/>
      </c>
      <c r="L21" s="462" t="str">
        <f t="shared" si="2"/>
        <v/>
      </c>
      <c r="M21" s="556" t="str">
        <f t="shared" si="3"/>
        <v/>
      </c>
      <c r="N21" s="453" t="str">
        <f t="shared" si="4"/>
        <v/>
      </c>
      <c r="O21" s="462"/>
      <c r="P21" s="462"/>
      <c r="Q21" s="462"/>
      <c r="R21" s="462"/>
      <c r="S21" s="1"/>
      <c r="T21" s="1"/>
      <c r="U21" s="1"/>
      <c r="V21" s="1"/>
      <c r="W21" s="1"/>
      <c r="X21" s="1"/>
      <c r="Y21" s="1"/>
      <c r="AC21" s="543" t="str">
        <f t="shared" si="7"/>
        <v/>
      </c>
      <c r="AD21" s="543"/>
    </row>
    <row r="22" spans="2:30" ht="15.75" customHeight="1" thickBot="1">
      <c r="D22" s="703" t="s">
        <v>217</v>
      </c>
      <c r="E22" s="622" t="str">
        <f t="shared" si="8"/>
        <v/>
      </c>
      <c r="F22" s="602" t="str">
        <f t="shared" si="9"/>
        <v/>
      </c>
      <c r="G22" s="703" t="s">
        <v>218</v>
      </c>
      <c r="H22" s="559" t="str">
        <f t="shared" si="6"/>
        <v/>
      </c>
      <c r="I22" s="1"/>
      <c r="J22" s="613" t="str">
        <f t="shared" si="0"/>
        <v/>
      </c>
      <c r="K22" s="614" t="str">
        <f t="shared" si="1"/>
        <v/>
      </c>
      <c r="L22" s="510" t="str">
        <f t="shared" si="2"/>
        <v/>
      </c>
      <c r="M22" s="615" t="str">
        <f t="shared" si="3"/>
        <v/>
      </c>
      <c r="N22" s="454" t="str">
        <f t="shared" si="4"/>
        <v/>
      </c>
      <c r="O22" s="462"/>
      <c r="P22" s="462"/>
      <c r="Q22" s="462"/>
      <c r="R22" s="462"/>
      <c r="S22" s="1"/>
      <c r="T22" s="1"/>
      <c r="U22" s="1"/>
      <c r="V22" s="1"/>
      <c r="W22" s="1"/>
      <c r="X22" s="1"/>
      <c r="Y22" s="1"/>
      <c r="AC22" s="543" t="str">
        <f t="shared" si="7"/>
        <v/>
      </c>
      <c r="AD22" s="543"/>
    </row>
    <row r="23" spans="2:30" ht="16.5" customHeight="1">
      <c r="D23" s="1"/>
      <c r="E23" s="703" t="str">
        <f>IF(ISNUMBER(F14),IF(ABS(F14-(G$10*E14+I$10))&lt;0.01,CONCATENATE("*O cálculo da segunda coluna da linha 1 foi feito  assim :    ",G$10,"  .  ",E14,AG$6,I$10), "Linha 1:Incorreta!" ),"")</f>
        <v>*O cálculo da segunda coluna da linha 1 foi feito  assim :    2  .  1 + 6</v>
      </c>
      <c r="F23" s="1"/>
      <c r="G23" s="1"/>
      <c r="H23" s="1"/>
      <c r="I23" s="1"/>
      <c r="J23" s="1"/>
      <c r="K23" s="1"/>
      <c r="L23" s="462"/>
      <c r="M23" s="462"/>
      <c r="N23" s="462"/>
      <c r="O23" s="462"/>
      <c r="P23" s="462"/>
      <c r="Q23" s="462"/>
      <c r="R23" s="462"/>
      <c r="S23" s="1"/>
      <c r="T23" s="1"/>
      <c r="U23" s="1"/>
      <c r="V23" s="1"/>
      <c r="W23" s="1"/>
      <c r="X23" s="1"/>
      <c r="Y23" s="1"/>
      <c r="AC23" s="543"/>
      <c r="AD23" s="543"/>
    </row>
    <row r="24" spans="2:30" ht="16.5" customHeight="1">
      <c r="D24" s="1"/>
      <c r="E24" s="621" t="str">
        <f>IF(ISNUMBER(F15),IF(ABS(F15-(G$10*E15+I$10))&gt;0.01,CONCATENATE("** O cálculo da segunda coluna da linha 1 deve ser feito é :    ",G$10,"  .  ",E15,AG$6,I$10), "Linha 2:Correta!" ),"")</f>
        <v/>
      </c>
      <c r="F24" s="1"/>
      <c r="G24" s="1"/>
      <c r="H24" s="1"/>
      <c r="I24" s="1"/>
      <c r="J24" s="1"/>
      <c r="K24" s="1"/>
      <c r="L24" s="1"/>
      <c r="M24" s="746" t="str">
        <f>IF(AND(ISNUMBER(F22),ISNUMBER(E22),ISNUMBER(F14),ISNUMBER(E14)),CONCATENATE(" A taxa de variação  média da função   ",I9," é  a =", G10," = Dy/Dx=    (",F22,"-",F14,")/(",E22,"-",E14,")=",(F22-F14)/(E22-E14)),"")</f>
        <v/>
      </c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AC24" s="543"/>
      <c r="AD24" s="543"/>
    </row>
    <row r="25" spans="2:30" ht="16.5" customHeight="1">
      <c r="D25" s="1"/>
      <c r="E25" s="544" t="str">
        <f>IF(ISNUMBER(F16),IF(ABS(F16-(G$10*E16+I$10))&gt;0.01,CONCATENATE("*** O cálculo da segunda coluna da linha 1 deve ser feito é :    ",G$10,"  .  ",E16,AG$6,I$10), "Linha 3:Correta!" ),"")</f>
        <v/>
      </c>
      <c r="F25" s="1"/>
      <c r="G25" s="1"/>
      <c r="H25" s="1"/>
      <c r="I25" s="1"/>
      <c r="J25" s="1"/>
      <c r="K25" s="1"/>
      <c r="L25" s="1"/>
      <c r="M25" s="1"/>
      <c r="N25" s="1"/>
      <c r="O25" s="462"/>
      <c r="P25" s="462"/>
      <c r="Q25" s="462"/>
      <c r="R25" s="462"/>
      <c r="S25" s="1"/>
      <c r="T25" s="1"/>
      <c r="U25" s="1"/>
      <c r="V25" s="1"/>
      <c r="W25" s="1"/>
      <c r="X25" s="1"/>
      <c r="Y25" s="1"/>
    </row>
    <row r="26" spans="2:30" ht="9.75" customHeight="1"/>
    <row r="27" spans="2:30" ht="6" customHeight="1">
      <c r="C27" s="535"/>
      <c r="D27" s="535"/>
      <c r="E27" s="535"/>
      <c r="F27" s="535"/>
      <c r="G27" s="535"/>
      <c r="H27" s="535"/>
      <c r="I27" s="535"/>
      <c r="J27" s="535"/>
      <c r="K27" s="535"/>
      <c r="L27" s="535"/>
      <c r="M27" s="535"/>
      <c r="N27" s="535"/>
      <c r="O27" s="569"/>
      <c r="P27" s="569"/>
      <c r="Q27" s="569"/>
      <c r="R27" s="569"/>
      <c r="S27" s="535"/>
      <c r="T27" s="535"/>
      <c r="U27" s="535"/>
      <c r="V27" s="535"/>
      <c r="W27" s="535"/>
      <c r="X27" s="535"/>
      <c r="Y27" s="535"/>
      <c r="Z27" s="535"/>
      <c r="AA27" s="535"/>
    </row>
    <row r="28" spans="2:30" ht="19.5" customHeight="1">
      <c r="B28" s="541"/>
      <c r="AA28" s="534"/>
    </row>
    <row r="29" spans="2:30" ht="19.5" customHeight="1">
      <c r="B29" s="541"/>
      <c r="AA29" s="534"/>
    </row>
    <row r="30" spans="2:30" ht="19.5" customHeight="1">
      <c r="B30" s="541"/>
      <c r="AA30" s="534"/>
    </row>
    <row r="31" spans="2:30" ht="19.5" customHeight="1">
      <c r="B31" s="541"/>
      <c r="AA31" s="534"/>
    </row>
    <row r="32" spans="2:30" ht="19.5" customHeight="1">
      <c r="B32" s="541"/>
      <c r="AA32" s="534"/>
    </row>
    <row r="33" spans="2:27" ht="19.5" customHeight="1">
      <c r="B33" s="541"/>
      <c r="AA33" s="534"/>
    </row>
    <row r="34" spans="2:27" ht="19.5" customHeight="1">
      <c r="B34" s="541"/>
      <c r="AA34" s="534"/>
    </row>
    <row r="35" spans="2:27" ht="19.5" customHeight="1">
      <c r="B35" s="541"/>
      <c r="AA35" s="534"/>
    </row>
    <row r="36" spans="2:27" ht="19.5" customHeight="1">
      <c r="B36" s="541"/>
      <c r="AA36" s="534"/>
    </row>
    <row r="37" spans="2:27" ht="19.5" customHeight="1">
      <c r="B37" s="541"/>
      <c r="AA37" s="534"/>
    </row>
    <row r="38" spans="2:27" ht="19.5" customHeight="1">
      <c r="B38" s="541"/>
      <c r="AA38" s="534"/>
    </row>
    <row r="39" spans="2:27" ht="19.5" customHeight="1">
      <c r="B39" s="541"/>
      <c r="AA39" s="534"/>
    </row>
    <row r="40" spans="2:27" ht="19.5" customHeight="1">
      <c r="B40" s="541"/>
      <c r="AA40" s="534"/>
    </row>
    <row r="41" spans="2:27" ht="19.5" customHeight="1">
      <c r="B41" s="541"/>
      <c r="AA41" s="534"/>
    </row>
    <row r="42" spans="2:27" ht="19.5" customHeight="1">
      <c r="B42" s="541"/>
      <c r="AA42" s="534"/>
    </row>
    <row r="43" spans="2:27" ht="19.5" customHeight="1">
      <c r="B43" s="541"/>
      <c r="AA43" s="534"/>
    </row>
    <row r="44" spans="2:27" ht="19.5" customHeight="1">
      <c r="B44" s="541"/>
      <c r="AA44" s="534"/>
    </row>
    <row r="45" spans="2:27" ht="19.5" customHeight="1">
      <c r="B45" s="541"/>
      <c r="AA45" s="534"/>
    </row>
    <row r="46" spans="2:27" ht="19.5" customHeight="1">
      <c r="B46" s="541"/>
      <c r="AA46" s="534"/>
    </row>
    <row r="47" spans="2:27" ht="19.5" customHeight="1">
      <c r="B47" s="541"/>
      <c r="AA47" s="534"/>
    </row>
    <row r="48" spans="2:27" ht="19.5" customHeight="1">
      <c r="B48" s="541"/>
      <c r="AA48" s="534"/>
    </row>
    <row r="49" spans="2:27" ht="19.5" customHeight="1">
      <c r="B49" s="541"/>
      <c r="AA49" s="534"/>
    </row>
    <row r="50" spans="2:27" ht="19.5" customHeight="1">
      <c r="B50" s="541"/>
      <c r="AA50" s="534"/>
    </row>
    <row r="51" spans="2:27" ht="19.5" customHeight="1">
      <c r="B51" s="541"/>
      <c r="AA51" s="534"/>
    </row>
    <row r="52" spans="2:27" ht="19.5" customHeight="1">
      <c r="B52" s="541"/>
      <c r="AA52" s="534"/>
    </row>
    <row r="53" spans="2:27" ht="19.5" customHeight="1">
      <c r="B53" s="541"/>
      <c r="AA53" s="534"/>
    </row>
    <row r="54" spans="2:27" ht="19.5" customHeight="1">
      <c r="B54" s="541"/>
      <c r="AA54" s="534"/>
    </row>
    <row r="55" spans="2:27" ht="19.5" customHeight="1">
      <c r="B55" s="541"/>
      <c r="AA55" s="534"/>
    </row>
    <row r="56" spans="2:27" ht="19.5" customHeight="1">
      <c r="B56" s="541"/>
      <c r="AA56" s="534"/>
    </row>
    <row r="57" spans="2:27" ht="19.5" customHeight="1">
      <c r="B57" s="541"/>
      <c r="AA57" s="534"/>
    </row>
    <row r="58" spans="2:27" ht="19.5" customHeight="1">
      <c r="B58" s="541"/>
      <c r="AA58" s="534"/>
    </row>
    <row r="59" spans="2:27" ht="19.5" customHeight="1">
      <c r="B59" s="541"/>
      <c r="AA59" s="534"/>
    </row>
    <row r="60" spans="2:27" ht="19.5" customHeight="1">
      <c r="B60" s="541"/>
      <c r="AA60" s="534"/>
    </row>
    <row r="61" spans="2:27" ht="19.5" customHeight="1">
      <c r="B61" s="541"/>
      <c r="AA61" s="534"/>
    </row>
    <row r="62" spans="2:27" ht="19.5" customHeight="1">
      <c r="B62" s="541"/>
      <c r="AA62" s="534"/>
    </row>
    <row r="63" spans="2:27" ht="19.5" customHeight="1">
      <c r="B63" s="541"/>
      <c r="AA63" s="534"/>
    </row>
    <row r="64" spans="2:27" ht="19.5" customHeight="1">
      <c r="B64" s="541"/>
      <c r="AA64" s="534"/>
    </row>
    <row r="65" spans="2:27" ht="19.5" customHeight="1">
      <c r="B65" s="541"/>
      <c r="AA65" s="534"/>
    </row>
    <row r="66" spans="2:27" ht="19.5" customHeight="1">
      <c r="B66" s="541"/>
      <c r="AA66" s="534"/>
    </row>
    <row r="67" spans="2:27" ht="19.5" customHeight="1">
      <c r="B67" s="541"/>
      <c r="AA67" s="534"/>
    </row>
    <row r="68" spans="2:27" ht="19.5" customHeight="1">
      <c r="B68" s="541"/>
      <c r="AA68" s="534"/>
    </row>
    <row r="69" spans="2:27" ht="19.5" customHeight="1">
      <c r="B69" s="541"/>
      <c r="AA69" s="534"/>
    </row>
    <row r="70" spans="2:27" ht="19.5" customHeight="1">
      <c r="B70" s="541"/>
      <c r="AA70" s="534"/>
    </row>
    <row r="71" spans="2:27" ht="19.5" customHeight="1">
      <c r="B71" s="541"/>
      <c r="AA71" s="534"/>
    </row>
    <row r="72" spans="2:27" ht="19.5" customHeight="1">
      <c r="B72" s="541"/>
      <c r="AA72" s="534"/>
    </row>
    <row r="73" spans="2:27" ht="19.5" customHeight="1">
      <c r="B73" s="541"/>
      <c r="AA73" s="534"/>
    </row>
    <row r="74" spans="2:27" ht="19.5" customHeight="1">
      <c r="B74" s="541"/>
      <c r="AA74" s="534"/>
    </row>
    <row r="75" spans="2:27" ht="19.5" customHeight="1">
      <c r="B75" s="541"/>
      <c r="AA75" s="534"/>
    </row>
    <row r="76" spans="2:27" ht="19.5" customHeight="1">
      <c r="B76" s="541"/>
      <c r="AA76" s="534"/>
    </row>
    <row r="77" spans="2:27" ht="19.5" customHeight="1">
      <c r="B77" s="541"/>
      <c r="AA77" s="534"/>
    </row>
    <row r="78" spans="2:27" ht="19.5" customHeight="1">
      <c r="B78" s="541"/>
      <c r="AA78" s="534"/>
    </row>
    <row r="79" spans="2:27" ht="19.5" customHeight="1">
      <c r="B79" s="541"/>
      <c r="AA79" s="534"/>
    </row>
    <row r="80" spans="2:27" ht="19.5" customHeight="1">
      <c r="B80" s="541"/>
      <c r="AA80" s="534"/>
    </row>
    <row r="81" spans="2:27" ht="19.5" customHeight="1">
      <c r="B81" s="541"/>
      <c r="AA81" s="534"/>
    </row>
    <row r="82" spans="2:27" ht="19.5" customHeight="1">
      <c r="B82" s="541"/>
      <c r="AA82" s="534"/>
    </row>
    <row r="83" spans="2:27" ht="19.5" customHeight="1">
      <c r="B83" s="541"/>
      <c r="AA83" s="534"/>
    </row>
    <row r="84" spans="2:27" ht="19.5" customHeight="1">
      <c r="B84" s="541"/>
      <c r="AA84" s="534"/>
    </row>
    <row r="85" spans="2:27" ht="19.5" customHeight="1">
      <c r="B85" s="541"/>
      <c r="AA85" s="534"/>
    </row>
    <row r="86" spans="2:27" ht="19.5" customHeight="1">
      <c r="B86" s="541"/>
      <c r="AA86" s="534"/>
    </row>
    <row r="87" spans="2:27" ht="19.5" customHeight="1">
      <c r="B87" s="541"/>
      <c r="AA87" s="534"/>
    </row>
    <row r="88" spans="2:27" ht="19.5" customHeight="1">
      <c r="B88" s="541"/>
      <c r="AA88" s="534"/>
    </row>
    <row r="89" spans="2:27" ht="19.5" customHeight="1">
      <c r="B89" s="541"/>
      <c r="AA89" s="534"/>
    </row>
    <row r="90" spans="2:27" ht="19.5" customHeight="1">
      <c r="B90" s="541"/>
      <c r="AA90" s="534"/>
    </row>
    <row r="91" spans="2:27" ht="19.5" customHeight="1">
      <c r="B91" s="541"/>
      <c r="AA91" s="534"/>
    </row>
    <row r="92" spans="2:27" ht="19.5" customHeight="1">
      <c r="B92" s="541"/>
      <c r="AA92" s="534"/>
    </row>
    <row r="93" spans="2:27" ht="19.5" customHeight="1">
      <c r="B93" s="541"/>
      <c r="AA93" s="534"/>
    </row>
    <row r="94" spans="2:27" ht="19.5" customHeight="1">
      <c r="B94" s="541"/>
      <c r="AA94" s="534"/>
    </row>
    <row r="95" spans="2:27" ht="19.5" customHeight="1">
      <c r="B95" s="541"/>
      <c r="AA95" s="534"/>
    </row>
    <row r="96" spans="2:27" ht="19.5" customHeight="1">
      <c r="B96" s="541"/>
      <c r="AA96" s="534"/>
    </row>
    <row r="97" spans="2:27" ht="19.5" customHeight="1">
      <c r="B97" s="541"/>
      <c r="AA97" s="534"/>
    </row>
    <row r="98" spans="2:27" ht="19.5" customHeight="1">
      <c r="B98" s="541"/>
      <c r="AA98" s="534"/>
    </row>
    <row r="99" spans="2:27" ht="19.5" customHeight="1">
      <c r="B99" s="541"/>
      <c r="AA99" s="534"/>
    </row>
    <row r="100" spans="2:27" ht="19.5" customHeight="1">
      <c r="B100" s="541"/>
      <c r="AA100" s="534"/>
    </row>
    <row r="101" spans="2:27" ht="19.5" customHeight="1">
      <c r="B101" s="541"/>
      <c r="AA101" s="534"/>
    </row>
    <row r="102" spans="2:27" ht="19.5" customHeight="1">
      <c r="B102" s="541"/>
      <c r="AA102" s="534"/>
    </row>
    <row r="103" spans="2:27" ht="19.5" customHeight="1">
      <c r="B103" s="541"/>
      <c r="AA103" s="534"/>
    </row>
    <row r="104" spans="2:27" ht="19.5" customHeight="1">
      <c r="B104" s="541"/>
      <c r="AA104" s="534"/>
    </row>
    <row r="105" spans="2:27" ht="19.5" customHeight="1">
      <c r="B105" s="541"/>
      <c r="AA105" s="534"/>
    </row>
    <row r="106" spans="2:27" ht="19.5" customHeight="1">
      <c r="B106" s="541"/>
      <c r="AA106" s="534"/>
    </row>
    <row r="107" spans="2:27" ht="19.5" customHeight="1">
      <c r="B107" s="541"/>
      <c r="AA107" s="534"/>
    </row>
    <row r="108" spans="2:27" ht="19.5" customHeight="1">
      <c r="B108" s="541"/>
      <c r="AA108" s="534"/>
    </row>
    <row r="109" spans="2:27" ht="19.5" customHeight="1">
      <c r="B109" s="541"/>
      <c r="AA109" s="534"/>
    </row>
    <row r="110" spans="2:27" ht="19.5" customHeight="1">
      <c r="B110" s="541"/>
      <c r="AA110" s="534"/>
    </row>
    <row r="111" spans="2:27" ht="19.5" customHeight="1">
      <c r="B111" s="541"/>
      <c r="AA111" s="534"/>
    </row>
    <row r="112" spans="2:27" ht="19.5" customHeight="1">
      <c r="B112" s="541"/>
      <c r="AA112" s="534"/>
    </row>
    <row r="113" spans="2:27" ht="19.5" customHeight="1">
      <c r="B113" s="541"/>
      <c r="AA113" s="534"/>
    </row>
    <row r="114" spans="2:27" ht="19.5" customHeight="1">
      <c r="B114" s="541"/>
      <c r="AA114" s="534"/>
    </row>
    <row r="115" spans="2:27" ht="19.5" customHeight="1">
      <c r="B115" s="541"/>
      <c r="AA115" s="534"/>
    </row>
    <row r="116" spans="2:27" ht="19.5" customHeight="1">
      <c r="B116" s="541"/>
      <c r="AA116" s="534"/>
    </row>
    <row r="117" spans="2:27" ht="19.5" customHeight="1">
      <c r="B117" s="541"/>
      <c r="AA117" s="534"/>
    </row>
    <row r="118" spans="2:27" ht="19.5" customHeight="1">
      <c r="B118" s="541"/>
      <c r="AA118" s="534"/>
    </row>
    <row r="119" spans="2:27" ht="19.5" customHeight="1">
      <c r="B119" s="541"/>
      <c r="AA119" s="534"/>
    </row>
    <row r="120" spans="2:27" ht="19.5" customHeight="1">
      <c r="B120" s="541"/>
      <c r="AA120" s="534"/>
    </row>
    <row r="121" spans="2:27" ht="19.5" customHeight="1">
      <c r="B121" s="541"/>
      <c r="AA121" s="534"/>
    </row>
    <row r="122" spans="2:27" ht="19.5" customHeight="1">
      <c r="B122" s="541"/>
      <c r="AA122" s="534"/>
    </row>
    <row r="123" spans="2:27" ht="19.5" customHeight="1">
      <c r="B123" s="541"/>
      <c r="AA123" s="534"/>
    </row>
    <row r="124" spans="2:27" ht="19.5" customHeight="1">
      <c r="B124" s="541"/>
      <c r="AA124" s="534"/>
    </row>
    <row r="125" spans="2:27" ht="19.5" customHeight="1">
      <c r="B125" s="541"/>
      <c r="AA125" s="534"/>
    </row>
    <row r="126" spans="2:27" ht="19.5" customHeight="1">
      <c r="B126" s="541"/>
      <c r="AA126" s="534"/>
    </row>
    <row r="127" spans="2:27" ht="19.5" customHeight="1">
      <c r="B127" s="541"/>
      <c r="AA127" s="534"/>
    </row>
    <row r="128" spans="2:27" ht="19.5" customHeight="1">
      <c r="B128" s="541"/>
      <c r="AA128" s="534"/>
    </row>
    <row r="129" spans="2:27" ht="19.5" customHeight="1">
      <c r="B129" s="541"/>
      <c r="AA129" s="534"/>
    </row>
    <row r="130" spans="2:27" ht="19.5" customHeight="1">
      <c r="B130" s="541"/>
      <c r="AA130" s="534"/>
    </row>
    <row r="131" spans="2:27" ht="19.5" customHeight="1">
      <c r="B131" s="541"/>
      <c r="AA131" s="534"/>
    </row>
    <row r="132" spans="2:27" ht="19.5" customHeight="1">
      <c r="B132" s="541"/>
      <c r="AA132" s="534"/>
    </row>
    <row r="133" spans="2:27" ht="19.5" customHeight="1">
      <c r="B133" s="541"/>
      <c r="AA133" s="534"/>
    </row>
    <row r="134" spans="2:27" ht="19.5" customHeight="1">
      <c r="B134" s="541"/>
      <c r="AA134" s="534"/>
    </row>
    <row r="135" spans="2:27" ht="19.5" customHeight="1">
      <c r="B135" s="541"/>
      <c r="AA135" s="534"/>
    </row>
    <row r="136" spans="2:27" ht="19.5" customHeight="1">
      <c r="B136" s="541"/>
      <c r="AA136" s="534"/>
    </row>
    <row r="137" spans="2:27" ht="19.5" customHeight="1">
      <c r="B137" s="541"/>
      <c r="AA137" s="534"/>
    </row>
    <row r="138" spans="2:27" ht="19.5" customHeight="1">
      <c r="B138" s="541"/>
      <c r="AA138" s="534"/>
    </row>
    <row r="139" spans="2:27" ht="19.5" customHeight="1">
      <c r="B139" s="541"/>
      <c r="AA139" s="534"/>
    </row>
    <row r="140" spans="2:27" ht="19.5" customHeight="1">
      <c r="B140" s="541"/>
      <c r="AA140" s="534"/>
    </row>
    <row r="141" spans="2:27" ht="19.5" customHeight="1">
      <c r="B141" s="541"/>
      <c r="AA141" s="534"/>
    </row>
    <row r="142" spans="2:27" ht="19.5" customHeight="1">
      <c r="B142" s="541"/>
      <c r="AA142" s="534"/>
    </row>
    <row r="143" spans="2:27" ht="19.5" customHeight="1">
      <c r="B143" s="541"/>
      <c r="AA143" s="534"/>
    </row>
    <row r="144" spans="2:27" ht="19.5" customHeight="1">
      <c r="B144" s="541"/>
      <c r="AA144" s="534"/>
    </row>
    <row r="145" spans="2:27" ht="19.5" customHeight="1">
      <c r="B145" s="541"/>
      <c r="AA145" s="534"/>
    </row>
    <row r="146" spans="2:27" ht="19.5" customHeight="1">
      <c r="B146" s="541"/>
      <c r="AA146" s="534"/>
    </row>
    <row r="147" spans="2:27" ht="19.5" customHeight="1">
      <c r="B147" s="541"/>
      <c r="AA147" s="534"/>
    </row>
    <row r="148" spans="2:27" ht="19.5" customHeight="1">
      <c r="B148" s="541"/>
      <c r="AA148" s="534"/>
    </row>
    <row r="149" spans="2:27" ht="19.5" customHeight="1">
      <c r="B149" s="541"/>
      <c r="AA149" s="534"/>
    </row>
    <row r="150" spans="2:27" ht="19.5" customHeight="1">
      <c r="B150" s="541"/>
      <c r="AA150" s="534"/>
    </row>
    <row r="151" spans="2:27" ht="19.5" customHeight="1">
      <c r="B151" s="541"/>
      <c r="AA151" s="534"/>
    </row>
    <row r="152" spans="2:27" ht="19.5" customHeight="1">
      <c r="B152" s="541"/>
      <c r="AA152" s="534"/>
    </row>
    <row r="153" spans="2:27" ht="19.5" customHeight="1">
      <c r="B153" s="541"/>
      <c r="AA153" s="534"/>
    </row>
    <row r="154" spans="2:27" ht="19.5" customHeight="1">
      <c r="B154" s="541"/>
      <c r="AA154" s="534"/>
    </row>
    <row r="155" spans="2:27" ht="19.5" customHeight="1">
      <c r="B155" s="541"/>
      <c r="AA155" s="534"/>
    </row>
    <row r="156" spans="2:27" ht="19.5" customHeight="1">
      <c r="B156" s="541"/>
      <c r="AA156" s="534"/>
    </row>
    <row r="157" spans="2:27" ht="19.5" customHeight="1">
      <c r="B157" s="541"/>
      <c r="AA157" s="534"/>
    </row>
    <row r="158" spans="2:27" ht="19.5" customHeight="1">
      <c r="B158" s="541"/>
      <c r="AA158" s="534"/>
    </row>
    <row r="159" spans="2:27" ht="19.5" customHeight="1">
      <c r="B159" s="541"/>
      <c r="AA159" s="534"/>
    </row>
    <row r="160" spans="2:27" ht="19.5" customHeight="1">
      <c r="B160" s="541"/>
      <c r="AA160" s="534"/>
    </row>
    <row r="161" spans="2:27" ht="19.5" customHeight="1">
      <c r="B161" s="541"/>
      <c r="AA161" s="534"/>
    </row>
    <row r="162" spans="2:27" ht="19.5" customHeight="1">
      <c r="B162" s="541"/>
      <c r="AA162" s="534"/>
    </row>
    <row r="163" spans="2:27" ht="19.5" customHeight="1">
      <c r="B163" s="541"/>
      <c r="AA163" s="534"/>
    </row>
    <row r="164" spans="2:27" ht="19.5" customHeight="1">
      <c r="B164" s="541"/>
      <c r="AA164" s="534"/>
    </row>
    <row r="165" spans="2:27" ht="19.5" customHeight="1">
      <c r="B165" s="541"/>
      <c r="AA165" s="534"/>
    </row>
    <row r="166" spans="2:27" ht="19.5" customHeight="1">
      <c r="B166" s="541"/>
      <c r="AA166" s="534"/>
    </row>
    <row r="167" spans="2:27" ht="19.5" customHeight="1">
      <c r="B167" s="541"/>
      <c r="AA167" s="534"/>
    </row>
    <row r="168" spans="2:27" ht="19.5" customHeight="1">
      <c r="B168" s="541"/>
      <c r="AA168" s="534"/>
    </row>
    <row r="169" spans="2:27" ht="19.5" customHeight="1">
      <c r="B169" s="541"/>
      <c r="AA169" s="534"/>
    </row>
    <row r="170" spans="2:27" ht="19.5" customHeight="1">
      <c r="B170" s="541"/>
      <c r="AA170" s="534"/>
    </row>
    <row r="171" spans="2:27" ht="19.5" customHeight="1">
      <c r="B171" s="541"/>
      <c r="AA171" s="534"/>
    </row>
    <row r="172" spans="2:27" ht="19.5" customHeight="1">
      <c r="B172" s="541"/>
      <c r="AA172" s="534"/>
    </row>
    <row r="173" spans="2:27" ht="19.5" customHeight="1">
      <c r="B173" s="541"/>
      <c r="AA173" s="534"/>
    </row>
    <row r="174" spans="2:27" ht="19.5" customHeight="1">
      <c r="B174" s="541"/>
      <c r="AA174" s="534"/>
    </row>
    <row r="175" spans="2:27" ht="19.5" customHeight="1">
      <c r="B175" s="541"/>
      <c r="AA175" s="534"/>
    </row>
    <row r="176" spans="2:27" ht="19.5" customHeight="1">
      <c r="B176" s="541"/>
      <c r="AA176" s="534"/>
    </row>
    <row r="177" spans="2:27" ht="19.5" customHeight="1">
      <c r="B177" s="541"/>
      <c r="AA177" s="534"/>
    </row>
    <row r="178" spans="2:27" ht="19.5" customHeight="1">
      <c r="B178" s="541"/>
      <c r="AA178" s="534"/>
    </row>
    <row r="179" spans="2:27" ht="19.5" customHeight="1">
      <c r="B179" s="541"/>
      <c r="AA179" s="534"/>
    </row>
    <row r="180" spans="2:27" ht="19.5" customHeight="1">
      <c r="B180" s="541"/>
      <c r="AA180" s="534"/>
    </row>
    <row r="181" spans="2:27" ht="19.5" customHeight="1">
      <c r="B181" s="541"/>
      <c r="AA181" s="534"/>
    </row>
    <row r="182" spans="2:27" ht="19.5" customHeight="1">
      <c r="B182" s="541"/>
      <c r="AA182" s="534"/>
    </row>
    <row r="183" spans="2:27" ht="19.5" customHeight="1">
      <c r="B183" s="541"/>
      <c r="AA183" s="534"/>
    </row>
    <row r="184" spans="2:27" ht="19.5" customHeight="1">
      <c r="B184" s="541"/>
      <c r="AA184" s="534"/>
    </row>
    <row r="185" spans="2:27" ht="19.5" customHeight="1">
      <c r="B185" s="541"/>
      <c r="AA185" s="534"/>
    </row>
    <row r="186" spans="2:27" ht="19.5" customHeight="1">
      <c r="B186" s="541"/>
      <c r="AA186" s="534"/>
    </row>
    <row r="187" spans="2:27" ht="19.5" customHeight="1">
      <c r="B187" s="541"/>
      <c r="AA187" s="534"/>
    </row>
    <row r="188" spans="2:27" ht="19.5" customHeight="1">
      <c r="B188" s="541"/>
      <c r="AA188" s="534"/>
    </row>
    <row r="189" spans="2:27" ht="19.5" customHeight="1">
      <c r="B189" s="541"/>
      <c r="AA189" s="534"/>
    </row>
    <row r="190" spans="2:27" ht="19.5" customHeight="1">
      <c r="B190" s="541"/>
      <c r="AA190" s="534"/>
    </row>
    <row r="191" spans="2:27" ht="19.5" customHeight="1">
      <c r="B191" s="541"/>
      <c r="AA191" s="534"/>
    </row>
    <row r="192" spans="2:27" ht="19.5" customHeight="1">
      <c r="B192" s="541"/>
      <c r="AA192" s="534"/>
    </row>
    <row r="193" spans="2:27" ht="19.5" customHeight="1">
      <c r="B193" s="541"/>
      <c r="AA193" s="534"/>
    </row>
    <row r="194" spans="2:27" ht="19.5" customHeight="1">
      <c r="B194" s="541"/>
      <c r="AA194" s="534"/>
    </row>
    <row r="195" spans="2:27" ht="19.5" customHeight="1">
      <c r="B195" s="541"/>
      <c r="AA195" s="534"/>
    </row>
    <row r="196" spans="2:27" ht="19.5" customHeight="1">
      <c r="B196" s="541"/>
      <c r="AA196" s="534"/>
    </row>
    <row r="197" spans="2:27" ht="19.5" customHeight="1">
      <c r="B197" s="541"/>
      <c r="AA197" s="534"/>
    </row>
    <row r="198" spans="2:27" ht="19.5" customHeight="1">
      <c r="B198" s="541"/>
      <c r="AA198" s="534"/>
    </row>
    <row r="199" spans="2:27" ht="19.5" customHeight="1">
      <c r="B199" s="541"/>
      <c r="AA199" s="534"/>
    </row>
    <row r="200" spans="2:27" ht="19.5" customHeight="1">
      <c r="B200" s="541"/>
      <c r="AA200" s="534"/>
    </row>
    <row r="201" spans="2:27" ht="19.5" customHeight="1">
      <c r="B201" s="541"/>
      <c r="AA201" s="534"/>
    </row>
    <row r="202" spans="2:27" ht="19.5" customHeight="1">
      <c r="B202" s="541"/>
      <c r="AA202" s="534"/>
    </row>
    <row r="203" spans="2:27" ht="19.5" customHeight="1">
      <c r="B203" s="541"/>
      <c r="AA203" s="534"/>
    </row>
    <row r="204" spans="2:27" ht="19.5" customHeight="1">
      <c r="B204" s="541"/>
      <c r="AA204" s="534"/>
    </row>
    <row r="205" spans="2:27" ht="19.5" customHeight="1">
      <c r="B205" s="541"/>
      <c r="AA205" s="534"/>
    </row>
    <row r="206" spans="2:27" ht="19.5" customHeight="1">
      <c r="B206" s="541"/>
      <c r="AA206" s="534"/>
    </row>
    <row r="207" spans="2:27" ht="19.5" customHeight="1">
      <c r="B207" s="541"/>
      <c r="AA207" s="534"/>
    </row>
    <row r="208" spans="2:27" ht="19.5" customHeight="1">
      <c r="B208" s="541"/>
      <c r="AA208" s="534"/>
    </row>
    <row r="209" spans="2:27" ht="19.5" customHeight="1">
      <c r="B209" s="541"/>
      <c r="AA209" s="534"/>
    </row>
    <row r="210" spans="2:27" ht="19.5" customHeight="1">
      <c r="B210" s="541"/>
      <c r="AA210" s="534"/>
    </row>
    <row r="211" spans="2:27" ht="19.5" customHeight="1">
      <c r="B211" s="541"/>
      <c r="AA211" s="534"/>
    </row>
    <row r="212" spans="2:27" ht="19.5" customHeight="1">
      <c r="B212" s="541"/>
      <c r="AA212" s="534"/>
    </row>
    <row r="213" spans="2:27" ht="19.5" customHeight="1">
      <c r="B213" s="541"/>
      <c r="AA213" s="534"/>
    </row>
    <row r="214" spans="2:27" ht="19.5" customHeight="1">
      <c r="B214" s="541"/>
      <c r="AA214" s="534"/>
    </row>
    <row r="215" spans="2:27" ht="19.5" customHeight="1">
      <c r="B215" s="541"/>
      <c r="AA215" s="534"/>
    </row>
    <row r="216" spans="2:27" ht="19.5" customHeight="1">
      <c r="B216" s="541"/>
      <c r="AA216" s="534"/>
    </row>
    <row r="217" spans="2:27" ht="19.5" customHeight="1">
      <c r="B217" s="541"/>
      <c r="AA217" s="534"/>
    </row>
    <row r="218" spans="2:27" ht="19.5" customHeight="1">
      <c r="B218" s="541"/>
      <c r="AA218" s="534"/>
    </row>
    <row r="219" spans="2:27" ht="19.5" customHeight="1">
      <c r="B219" s="541"/>
      <c r="AA219" s="534"/>
    </row>
    <row r="220" spans="2:27" ht="19.5" customHeight="1">
      <c r="B220" s="541"/>
      <c r="AA220" s="534"/>
    </row>
    <row r="221" spans="2:27" ht="19.5" customHeight="1">
      <c r="B221" s="541"/>
      <c r="AA221" s="534"/>
    </row>
    <row r="222" spans="2:27" ht="19.5" customHeight="1">
      <c r="B222" s="541"/>
      <c r="AA222" s="534"/>
    </row>
    <row r="223" spans="2:27" ht="19.5" customHeight="1">
      <c r="B223" s="541"/>
      <c r="AA223" s="534"/>
    </row>
    <row r="224" spans="2:27" ht="19.5" customHeight="1">
      <c r="B224" s="541"/>
      <c r="AA224" s="534"/>
    </row>
    <row r="225" spans="2:27" ht="19.5" customHeight="1">
      <c r="B225" s="541"/>
      <c r="AA225" s="534"/>
    </row>
    <row r="226" spans="2:27" ht="19.5" customHeight="1">
      <c r="B226" s="541"/>
      <c r="AA226" s="534"/>
    </row>
    <row r="227" spans="2:27" ht="19.5" customHeight="1">
      <c r="B227" s="541"/>
      <c r="AA227" s="534"/>
    </row>
    <row r="228" spans="2:27" ht="19.5" customHeight="1">
      <c r="B228" s="541"/>
      <c r="AA228" s="534"/>
    </row>
    <row r="229" spans="2:27" ht="19.5" customHeight="1">
      <c r="B229" s="541"/>
      <c r="AA229" s="534"/>
    </row>
    <row r="230" spans="2:27" ht="19.5" customHeight="1">
      <c r="B230" s="541"/>
      <c r="AA230" s="534"/>
    </row>
    <row r="231" spans="2:27" ht="19.5" customHeight="1">
      <c r="B231" s="541"/>
      <c r="AA231" s="534"/>
    </row>
    <row r="232" spans="2:27" ht="19.5" customHeight="1">
      <c r="B232" s="541"/>
      <c r="AA232" s="534"/>
    </row>
    <row r="233" spans="2:27" ht="19.5" customHeight="1">
      <c r="B233" s="541"/>
      <c r="AA233" s="534"/>
    </row>
    <row r="234" spans="2:27" ht="19.5" customHeight="1">
      <c r="B234" s="541"/>
      <c r="AA234" s="534"/>
    </row>
    <row r="235" spans="2:27" ht="19.5" customHeight="1">
      <c r="B235" s="541"/>
      <c r="AA235" s="534"/>
    </row>
    <row r="236" spans="2:27" ht="19.5" customHeight="1">
      <c r="B236" s="541"/>
      <c r="AA236" s="534"/>
    </row>
    <row r="237" spans="2:27" ht="19.5" customHeight="1">
      <c r="B237" s="541"/>
      <c r="AA237" s="534"/>
    </row>
    <row r="238" spans="2:27" ht="19.5" customHeight="1">
      <c r="B238" s="541"/>
      <c r="AA238" s="534"/>
    </row>
    <row r="239" spans="2:27" ht="19.5" customHeight="1">
      <c r="B239" s="541"/>
      <c r="AA239" s="534"/>
    </row>
    <row r="240" spans="2:27" ht="19.5" customHeight="1">
      <c r="B240" s="541"/>
      <c r="AA240" s="534"/>
    </row>
    <row r="241" spans="2:27" ht="19.5" customHeight="1">
      <c r="B241" s="541"/>
      <c r="AA241" s="534"/>
    </row>
    <row r="242" spans="2:27" ht="19.5" customHeight="1">
      <c r="B242" s="541"/>
      <c r="AA242" s="534"/>
    </row>
    <row r="243" spans="2:27" ht="19.5" customHeight="1">
      <c r="B243" s="541"/>
      <c r="AA243" s="534"/>
    </row>
    <row r="244" spans="2:27" ht="19.5" customHeight="1">
      <c r="B244" s="541"/>
      <c r="AA244" s="534"/>
    </row>
    <row r="245" spans="2:27" ht="19.5" customHeight="1">
      <c r="B245" s="541"/>
      <c r="AA245" s="534"/>
    </row>
    <row r="246" spans="2:27" ht="19.5" customHeight="1">
      <c r="B246" s="541"/>
      <c r="AA246" s="534"/>
    </row>
    <row r="247" spans="2:27" ht="19.5" customHeight="1">
      <c r="B247" s="541"/>
      <c r="AA247" s="534"/>
    </row>
    <row r="248" spans="2:27" ht="19.5" customHeight="1">
      <c r="B248" s="541"/>
      <c r="AA248" s="534"/>
    </row>
    <row r="249" spans="2:27" ht="19.5" customHeight="1">
      <c r="B249" s="541"/>
      <c r="AA249" s="534"/>
    </row>
    <row r="250" spans="2:27" ht="19.5" customHeight="1">
      <c r="B250" s="541"/>
      <c r="AA250" s="534"/>
    </row>
    <row r="251" spans="2:27" ht="19.5" customHeight="1">
      <c r="B251" s="541"/>
      <c r="AA251" s="534"/>
    </row>
    <row r="252" spans="2:27" ht="19.5" customHeight="1">
      <c r="B252" s="541"/>
      <c r="AA252" s="534"/>
    </row>
    <row r="253" spans="2:27" ht="19.5" customHeight="1">
      <c r="B253" s="541"/>
      <c r="AA253" s="534"/>
    </row>
    <row r="254" spans="2:27" ht="19.5" customHeight="1">
      <c r="B254" s="541"/>
      <c r="AA254" s="534"/>
    </row>
    <row r="255" spans="2:27" ht="19.5" customHeight="1">
      <c r="B255" s="541"/>
      <c r="AA255" s="534"/>
    </row>
    <row r="256" spans="2:27" ht="19.5" customHeight="1">
      <c r="B256" s="541"/>
      <c r="AA256" s="534"/>
    </row>
    <row r="257" spans="2:27" ht="19.5" customHeight="1">
      <c r="B257" s="541"/>
      <c r="AA257" s="534"/>
    </row>
    <row r="258" spans="2:27" ht="19.5" customHeight="1">
      <c r="B258" s="541"/>
      <c r="AA258" s="534"/>
    </row>
    <row r="259" spans="2:27" ht="19.5" customHeight="1">
      <c r="B259" s="541"/>
      <c r="AA259" s="534"/>
    </row>
    <row r="260" spans="2:27" ht="19.5" customHeight="1">
      <c r="B260" s="541"/>
      <c r="AA260" s="534"/>
    </row>
    <row r="261" spans="2:27" ht="19.5" customHeight="1">
      <c r="B261" s="541"/>
      <c r="AA261" s="534"/>
    </row>
    <row r="262" spans="2:27" ht="19.5" customHeight="1">
      <c r="B262" s="541"/>
      <c r="AA262" s="534"/>
    </row>
    <row r="263" spans="2:27" ht="19.5" customHeight="1">
      <c r="B263" s="541"/>
      <c r="AA263" s="534"/>
    </row>
    <row r="264" spans="2:27" ht="19.5" customHeight="1">
      <c r="B264" s="541"/>
      <c r="AA264" s="534"/>
    </row>
    <row r="265" spans="2:27" ht="19.5" customHeight="1">
      <c r="B265" s="541"/>
      <c r="AA265" s="534"/>
    </row>
  </sheetData>
  <mergeCells count="1">
    <mergeCell ref="M24:Y2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R267"/>
  <sheetViews>
    <sheetView topLeftCell="A2" workbookViewId="0">
      <selection activeCell="W9" sqref="W9:AC10"/>
    </sheetView>
  </sheetViews>
  <sheetFormatPr defaultColWidth="9.109375" defaultRowHeight="19.5" customHeight="1"/>
  <cols>
    <col min="1" max="1" width="1.109375" style="534" customWidth="1"/>
    <col min="2" max="2" width="1.44140625" style="535" customWidth="1"/>
    <col min="3" max="4" width="2.44140625" style="534" customWidth="1"/>
    <col min="5" max="5" width="2.5546875" style="534" customWidth="1"/>
    <col min="6" max="6" width="9.33203125" style="534" customWidth="1"/>
    <col min="7" max="7" width="5.5546875" style="534" customWidth="1"/>
    <col min="8" max="8" width="4.109375" style="663" customWidth="1"/>
    <col min="9" max="9" width="5" style="534" customWidth="1"/>
    <col min="10" max="10" width="5.6640625" style="534" customWidth="1"/>
    <col min="11" max="11" width="1.88671875" style="534" customWidth="1"/>
    <col min="12" max="12" width="5.88671875" style="534" customWidth="1"/>
    <col min="13" max="13" width="1.6640625" style="534" customWidth="1"/>
    <col min="14" max="14" width="5.109375" style="534" customWidth="1"/>
    <col min="15" max="15" width="2.44140625" style="534" customWidth="1"/>
    <col min="16" max="16" width="9.88671875" style="534" customWidth="1"/>
    <col min="17" max="17" width="2.33203125" style="403" customWidth="1"/>
    <col min="18" max="18" width="2.6640625" style="403" customWidth="1"/>
    <col min="19" max="19" width="9.44140625" style="403" customWidth="1"/>
    <col min="20" max="20" width="8.44140625" style="403" customWidth="1"/>
    <col min="21" max="21" width="6.44140625" style="403" customWidth="1"/>
    <col min="22" max="22" width="3" style="403" customWidth="1"/>
    <col min="23" max="23" width="6.33203125" style="534" customWidth="1"/>
    <col min="24" max="24" width="1.6640625" style="534" customWidth="1"/>
    <col min="25" max="25" width="6.88671875" style="534" customWidth="1"/>
    <col min="26" max="26" width="6.33203125" style="534" customWidth="1"/>
    <col min="27" max="27" width="4.5546875" style="534" customWidth="1"/>
    <col min="28" max="28" width="3.44140625" style="534" customWidth="1"/>
    <col min="29" max="29" width="7.109375" style="534" customWidth="1"/>
    <col min="30" max="30" width="5" style="534" customWidth="1"/>
    <col min="31" max="32" width="1.5546875" style="534" customWidth="1"/>
    <col min="33" max="33" width="1.88671875" style="598" customWidth="1"/>
    <col min="34" max="34" width="1.5546875" style="534" customWidth="1"/>
    <col min="35" max="35" width="2" style="534" customWidth="1"/>
    <col min="36" max="36" width="1.44140625" style="534" customWidth="1"/>
    <col min="37" max="37" width="36.44140625" style="406" customWidth="1"/>
    <col min="38" max="42" width="9.109375" style="406"/>
    <col min="43" max="16384" width="9.109375" style="534"/>
  </cols>
  <sheetData>
    <row r="1" spans="1:70" ht="9" customHeight="1">
      <c r="B1" s="534"/>
      <c r="AI1" s="537"/>
    </row>
    <row r="2" spans="1:70" s="1" customFormat="1" ht="6" customHeight="1">
      <c r="A2" s="534"/>
      <c r="B2" s="535"/>
      <c r="H2" s="439"/>
      <c r="Q2" s="462"/>
      <c r="R2" s="462"/>
      <c r="S2" s="462"/>
      <c r="T2" s="462"/>
      <c r="U2" s="462"/>
      <c r="V2" s="462"/>
      <c r="AH2" s="498"/>
      <c r="AI2" s="537"/>
      <c r="AJ2" s="534"/>
      <c r="AK2" s="406"/>
      <c r="AL2" s="406"/>
      <c r="AM2" s="406"/>
      <c r="AN2" s="406"/>
      <c r="AO2" s="406"/>
      <c r="AP2" s="406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534"/>
      <c r="BR2" s="534"/>
    </row>
    <row r="3" spans="1:70" ht="8.25" customHeight="1">
      <c r="AH3" s="498"/>
      <c r="AI3" s="537"/>
    </row>
    <row r="4" spans="1:70" s="537" customFormat="1" ht="15.75" customHeight="1">
      <c r="B4" s="538"/>
      <c r="D4" s="498"/>
      <c r="E4" s="498"/>
      <c r="F4" s="701" t="s">
        <v>181</v>
      </c>
      <c r="G4" s="636"/>
      <c r="H4" s="636"/>
      <c r="I4" s="636"/>
      <c r="J4" s="635" t="s">
        <v>210</v>
      </c>
      <c r="K4" s="635"/>
      <c r="L4" s="636"/>
      <c r="M4" s="636" t="s">
        <v>211</v>
      </c>
      <c r="N4" s="636"/>
      <c r="O4" s="636"/>
      <c r="P4" s="636"/>
      <c r="Q4" s="636"/>
      <c r="R4" s="636"/>
      <c r="S4" s="636"/>
      <c r="T4" s="636"/>
      <c r="U4" s="636"/>
      <c r="V4" s="636"/>
      <c r="W4" s="695"/>
      <c r="X4" s="695"/>
      <c r="Y4" s="695"/>
      <c r="Z4" s="546" t="s">
        <v>219</v>
      </c>
      <c r="AA4" s="498"/>
      <c r="AB4" s="498"/>
      <c r="AC4" s="498"/>
      <c r="AD4" s="498"/>
      <c r="AE4" s="498"/>
      <c r="AF4" s="498"/>
      <c r="AG4" s="598"/>
      <c r="AH4" s="498"/>
      <c r="AK4" s="543"/>
      <c r="AL4" s="543"/>
      <c r="AM4" s="543"/>
      <c r="AN4" s="543"/>
      <c r="AO4" s="543"/>
      <c r="AP4" s="543"/>
    </row>
    <row r="5" spans="1:70" s="537" customFormat="1" ht="15.75" customHeight="1">
      <c r="B5" s="538"/>
      <c r="D5" s="498"/>
      <c r="E5" s="498"/>
      <c r="F5" s="701"/>
      <c r="G5" s="636"/>
      <c r="H5" s="636"/>
      <c r="I5" s="636"/>
      <c r="J5" s="635"/>
      <c r="K5" s="635"/>
      <c r="L5" s="636"/>
      <c r="M5" s="636"/>
      <c r="N5" s="636"/>
      <c r="O5" s="636"/>
      <c r="P5" s="636"/>
      <c r="Q5" s="636"/>
      <c r="R5" s="636"/>
      <c r="S5" s="636"/>
      <c r="T5" s="636"/>
      <c r="U5" s="636"/>
      <c r="V5" s="636"/>
      <c r="W5" s="695"/>
      <c r="X5" s="695"/>
      <c r="Y5" s="695"/>
      <c r="Z5" s="546"/>
      <c r="AA5" s="498"/>
      <c r="AB5" s="498"/>
      <c r="AC5" s="498"/>
      <c r="AD5" s="498"/>
      <c r="AE5" s="498"/>
      <c r="AF5" s="498"/>
      <c r="AG5" s="598"/>
      <c r="AH5" s="498"/>
      <c r="AK5" s="543"/>
      <c r="AL5" s="543"/>
      <c r="AM5" s="543"/>
      <c r="AN5" s="543"/>
      <c r="AO5" s="543"/>
      <c r="AP5" s="543"/>
    </row>
    <row r="6" spans="1:70" s="537" customFormat="1" ht="13.5" customHeight="1" thickBot="1">
      <c r="B6" s="538"/>
      <c r="D6" s="498"/>
      <c r="E6" s="498"/>
      <c r="F6" s="695"/>
      <c r="G6" s="664" t="s">
        <v>209</v>
      </c>
      <c r="H6" s="704">
        <f>Início!I11+1</f>
        <v>3</v>
      </c>
      <c r="I6" s="698" t="s">
        <v>171</v>
      </c>
      <c r="J6" s="705">
        <f>Início!I10</f>
        <v>6</v>
      </c>
      <c r="K6" s="664"/>
      <c r="L6" s="695" t="s">
        <v>199</v>
      </c>
      <c r="M6" s="696"/>
      <c r="N6" s="700">
        <f>H6</f>
        <v>3</v>
      </c>
      <c r="O6" s="695" t="s">
        <v>201</v>
      </c>
      <c r="P6" s="695"/>
      <c r="Q6" s="695"/>
      <c r="R6" s="636"/>
      <c r="S6" s="695"/>
      <c r="T6" s="697">
        <f>J6</f>
        <v>6</v>
      </c>
      <c r="U6" s="696" t="s">
        <v>200</v>
      </c>
      <c r="V6" s="696"/>
      <c r="W6" s="696"/>
      <c r="X6" s="696"/>
      <c r="Y6" s="696"/>
      <c r="Z6" s="696"/>
      <c r="AA6" s="624"/>
      <c r="AB6" s="624"/>
      <c r="AC6" s="624"/>
      <c r="AD6" s="550"/>
      <c r="AE6" s="550"/>
      <c r="AF6" s="550"/>
      <c r="AG6" s="598"/>
      <c r="AH6" s="498"/>
      <c r="AK6" s="543"/>
      <c r="AL6" s="543"/>
      <c r="AM6" s="543"/>
      <c r="AN6" s="543"/>
      <c r="AO6" s="543"/>
      <c r="AP6" s="543"/>
    </row>
    <row r="7" spans="1:70" s="537" customFormat="1" ht="6" customHeight="1">
      <c r="B7" s="538"/>
      <c r="D7" s="498"/>
      <c r="E7" s="529"/>
      <c r="F7" s="507"/>
      <c r="G7" s="577"/>
      <c r="H7" s="692"/>
      <c r="I7" s="577"/>
      <c r="J7" s="577"/>
      <c r="K7" s="577"/>
      <c r="L7" s="577"/>
      <c r="M7" s="577"/>
      <c r="N7" s="577"/>
      <c r="O7" s="577"/>
      <c r="P7" s="637"/>
      <c r="Q7" s="550"/>
      <c r="R7" s="550"/>
      <c r="S7" s="576"/>
      <c r="T7" s="577"/>
      <c r="U7" s="577"/>
      <c r="V7" s="577"/>
      <c r="W7" s="577"/>
      <c r="X7" s="577"/>
      <c r="Y7" s="577"/>
      <c r="Z7" s="577"/>
      <c r="AA7" s="577"/>
      <c r="AB7" s="577"/>
      <c r="AC7" s="577"/>
      <c r="AD7" s="637"/>
      <c r="AE7" s="550"/>
      <c r="AF7" s="550"/>
      <c r="AG7" s="598"/>
      <c r="AH7" s="498"/>
      <c r="AK7" s="543"/>
      <c r="AL7" s="543"/>
      <c r="AM7" s="543"/>
      <c r="AN7" s="543"/>
      <c r="AO7" s="543"/>
      <c r="AP7" s="543"/>
    </row>
    <row r="8" spans="1:70" s="537" customFormat="1" ht="15" customHeight="1" thickBot="1">
      <c r="B8" s="538"/>
      <c r="D8" s="498"/>
      <c r="E8" s="531"/>
      <c r="F8" s="636" t="s">
        <v>197</v>
      </c>
      <c r="G8" s="550"/>
      <c r="H8" s="664"/>
      <c r="I8" s="550"/>
      <c r="J8" s="550"/>
      <c r="K8" s="550"/>
      <c r="L8" s="550"/>
      <c r="M8" s="550"/>
      <c r="N8" s="550"/>
      <c r="O8" s="550"/>
      <c r="P8" s="640"/>
      <c r="Q8" s="525"/>
      <c r="R8" s="525"/>
      <c r="S8" s="699" t="s">
        <v>192</v>
      </c>
      <c r="T8" s="462"/>
      <c r="U8" s="508"/>
      <c r="V8" s="508"/>
      <c r="W8" s="508"/>
      <c r="X8" s="508"/>
      <c r="Y8" s="508"/>
      <c r="Z8" s="508"/>
      <c r="AA8" s="508"/>
      <c r="AB8" s="508"/>
      <c r="AC8" s="508"/>
      <c r="AD8" s="638"/>
      <c r="AE8" s="508"/>
      <c r="AF8" s="508"/>
      <c r="AG8" s="598"/>
      <c r="AH8" s="498"/>
      <c r="AK8" s="543"/>
      <c r="AL8" s="543"/>
      <c r="AM8" s="543"/>
      <c r="AN8" s="543"/>
      <c r="AO8" s="543"/>
      <c r="AP8" s="543"/>
    </row>
    <row r="9" spans="1:70" ht="17.25" customHeight="1" thickBot="1">
      <c r="D9" s="498"/>
      <c r="E9" s="494"/>
      <c r="F9" s="542" t="s">
        <v>82</v>
      </c>
      <c r="G9" s="509"/>
      <c r="H9" s="652"/>
      <c r="I9" s="462"/>
      <c r="J9" s="641"/>
      <c r="K9" s="551"/>
      <c r="L9" s="590" t="s">
        <v>184</v>
      </c>
      <c r="M9" s="551"/>
      <c r="N9" s="551"/>
      <c r="O9" s="551"/>
      <c r="P9" s="495"/>
      <c r="Q9" s="462"/>
      <c r="R9" s="462"/>
      <c r="S9" s="776" t="str">
        <f>F10</f>
        <v>x</v>
      </c>
      <c r="T9" s="767" t="str">
        <f>G10</f>
        <v xml:space="preserve"> y= f(x) = 3x + 6</v>
      </c>
      <c r="U9" s="768"/>
      <c r="V9" s="686"/>
      <c r="W9" s="687" t="s">
        <v>204</v>
      </c>
      <c r="X9" s="771" t="s">
        <v>203</v>
      </c>
      <c r="Y9" s="688" t="s">
        <v>205</v>
      </c>
      <c r="Z9" s="688"/>
      <c r="AA9" s="757"/>
      <c r="AB9" s="749" t="s">
        <v>208</v>
      </c>
      <c r="AC9" s="749"/>
      <c r="AD9" s="495"/>
      <c r="AE9" s="462"/>
      <c r="AF9" s="462"/>
      <c r="AH9" s="1"/>
      <c r="AL9" s="543"/>
      <c r="AM9" s="543"/>
    </row>
    <row r="10" spans="1:70" ht="14.25" customHeight="1" thickBot="1">
      <c r="D10" s="498"/>
      <c r="E10" s="494"/>
      <c r="F10" s="693" t="s">
        <v>1</v>
      </c>
      <c r="G10" s="694" t="str">
        <f>CONCATENATE(G6,H6,I6,J6)</f>
        <v xml:space="preserve"> y= f(x) = 3x + 6</v>
      </c>
      <c r="H10" s="661"/>
      <c r="I10" s="642"/>
      <c r="J10" s="641"/>
      <c r="K10" s="646" t="str">
        <f>IF(I11="Correta!","(","")</f>
        <v>(</v>
      </c>
      <c r="L10" s="591" t="str">
        <f>IF(I11="Correta!","x","")</f>
        <v>x</v>
      </c>
      <c r="M10" s="590" t="str">
        <f>IF(ISNUMBER(L11),";","")</f>
        <v>;</v>
      </c>
      <c r="N10" s="592" t="str">
        <f>IF(ISNUMBER(L11),"y","")</f>
        <v>y</v>
      </c>
      <c r="O10" s="590" t="str">
        <f>IF(I11="Correta!",")","")</f>
        <v>)</v>
      </c>
      <c r="P10" s="579"/>
      <c r="Q10" s="462"/>
      <c r="R10" s="462"/>
      <c r="S10" s="776"/>
      <c r="T10" s="769"/>
      <c r="U10" s="770"/>
      <c r="V10" s="689"/>
      <c r="W10" s="690" t="s">
        <v>206</v>
      </c>
      <c r="X10" s="772"/>
      <c r="Y10" s="691" t="s">
        <v>207</v>
      </c>
      <c r="Z10" s="691"/>
      <c r="AA10" s="758"/>
      <c r="AB10" s="750"/>
      <c r="AC10" s="750"/>
      <c r="AD10" s="495"/>
      <c r="AE10" s="462"/>
      <c r="AF10" s="462"/>
      <c r="AH10" s="1"/>
      <c r="AK10" s="629"/>
      <c r="AL10" s="630"/>
      <c r="AM10" s="630"/>
    </row>
    <row r="11" spans="1:70" ht="12" customHeight="1">
      <c r="D11" s="498"/>
      <c r="E11" s="494"/>
      <c r="F11" s="562">
        <v>1</v>
      </c>
      <c r="G11" s="572">
        <v>9</v>
      </c>
      <c r="H11" s="665"/>
      <c r="I11" s="628" t="str">
        <f>IF(ISNUMBER(G11),IF(ABS(G11-(H$6*F11+J$6))&gt;0.01,"*","Correta!"),"")</f>
        <v>Correta!</v>
      </c>
      <c r="J11" s="462"/>
      <c r="K11" s="680" t="str">
        <f t="shared" ref="K11:K19" si="0">IF(I11="Correta!","(","")</f>
        <v>(</v>
      </c>
      <c r="L11" s="681">
        <f t="shared" ref="L11:L19" si="1">IF(I11="Correta!",F11,"")</f>
        <v>1</v>
      </c>
      <c r="M11" s="682" t="str">
        <f>IF(ISNUMBER(L11),";","")</f>
        <v>;</v>
      </c>
      <c r="N11" s="683">
        <f t="shared" ref="N11:N19" si="2">IF(ISNUMBER(L11),G11,"")</f>
        <v>9</v>
      </c>
      <c r="O11" s="682" t="str">
        <f>IF(K11="(",")","")</f>
        <v>)</v>
      </c>
      <c r="P11" s="495"/>
      <c r="Q11" s="462"/>
      <c r="R11" s="462"/>
      <c r="S11" s="765">
        <f>F11</f>
        <v>1</v>
      </c>
      <c r="T11" s="759">
        <f>G11</f>
        <v>9</v>
      </c>
      <c r="U11" s="759"/>
      <c r="V11" s="556"/>
      <c r="W11" s="462"/>
      <c r="X11" s="655"/>
      <c r="Y11" s="462"/>
      <c r="Z11" s="462"/>
      <c r="AA11" s="755"/>
      <c r="AB11" s="660"/>
      <c r="AC11" s="755"/>
      <c r="AD11" s="495"/>
      <c r="AE11" s="462"/>
      <c r="AF11" s="462"/>
      <c r="AH11" s="1"/>
      <c r="AK11" s="629"/>
      <c r="AL11" s="630"/>
      <c r="AM11" s="630"/>
    </row>
    <row r="12" spans="1:70" ht="12" customHeight="1">
      <c r="D12" s="498"/>
      <c r="E12" s="494"/>
      <c r="F12" s="563">
        <v>2</v>
      </c>
      <c r="G12" s="572">
        <v>12</v>
      </c>
      <c r="H12" s="666"/>
      <c r="I12" s="628" t="str">
        <f>IF(ISNUMBER(G12),IF(ABS(G12-(H$6*F12+J$6))&gt;0.01,"**","Correta!"),"")</f>
        <v>Correta!</v>
      </c>
      <c r="J12" s="462"/>
      <c r="K12" s="552" t="str">
        <f t="shared" si="0"/>
        <v>(</v>
      </c>
      <c r="L12" s="555">
        <f t="shared" si="1"/>
        <v>2</v>
      </c>
      <c r="M12" s="462" t="str">
        <f t="shared" ref="M12:M19" si="3">IF(ISNUMBER(L12),";","")</f>
        <v>;</v>
      </c>
      <c r="N12" s="556">
        <f t="shared" si="2"/>
        <v>12</v>
      </c>
      <c r="O12" s="462" t="str">
        <f t="shared" ref="O12:O19" si="4">IF(K12="(",")","")</f>
        <v>)</v>
      </c>
      <c r="P12" s="495"/>
      <c r="Q12" s="462"/>
      <c r="R12" s="462"/>
      <c r="S12" s="765"/>
      <c r="T12" s="759"/>
      <c r="U12" s="759"/>
      <c r="V12" s="556"/>
      <c r="W12" s="462"/>
      <c r="X12" s="655"/>
      <c r="Y12" s="462"/>
      <c r="Z12" s="462"/>
      <c r="AA12" s="756"/>
      <c r="AB12" s="549"/>
      <c r="AC12" s="756"/>
      <c r="AD12" s="495"/>
      <c r="AE12" s="462"/>
      <c r="AF12" s="462"/>
      <c r="AH12" s="1"/>
      <c r="AK12" s="629"/>
      <c r="AL12" s="630"/>
      <c r="AM12" s="630"/>
    </row>
    <row r="13" spans="1:70" ht="15" customHeight="1" thickBot="1">
      <c r="D13" s="498"/>
      <c r="E13" s="494"/>
      <c r="F13" s="563">
        <v>3</v>
      </c>
      <c r="G13" s="572">
        <v>15</v>
      </c>
      <c r="H13" s="666"/>
      <c r="I13" s="628" t="str">
        <f>IF(ISNUMBER(G13),IF(ABS(G13-(H$6*F13+J$6))&gt;0.01,"***","Correta!"),"")</f>
        <v>Correta!</v>
      </c>
      <c r="J13" s="462"/>
      <c r="K13" s="552" t="str">
        <f t="shared" si="0"/>
        <v>(</v>
      </c>
      <c r="L13" s="555">
        <f t="shared" si="1"/>
        <v>3</v>
      </c>
      <c r="M13" s="462" t="str">
        <f t="shared" si="3"/>
        <v>;</v>
      </c>
      <c r="N13" s="556">
        <f t="shared" si="2"/>
        <v>15</v>
      </c>
      <c r="O13" s="462" t="str">
        <f t="shared" si="4"/>
        <v>)</v>
      </c>
      <c r="P13" s="495"/>
      <c r="Q13" s="462"/>
      <c r="R13" s="462"/>
      <c r="S13" s="765">
        <f>F12</f>
        <v>2</v>
      </c>
      <c r="T13" s="759">
        <f>G12</f>
        <v>12</v>
      </c>
      <c r="U13" s="759"/>
      <c r="V13" s="600"/>
      <c r="W13" s="669">
        <f t="shared" ref="W13:W28" si="5">AG13</f>
        <v>12</v>
      </c>
      <c r="X13" s="670" t="s">
        <v>22</v>
      </c>
      <c r="Y13" s="669">
        <f t="shared" ref="Y13:Y28" si="6">AH13</f>
        <v>9</v>
      </c>
      <c r="Z13" s="747" t="s">
        <v>8</v>
      </c>
      <c r="AA13" s="671">
        <f>W13-Y13</f>
        <v>3</v>
      </c>
      <c r="AB13" s="747" t="s">
        <v>8</v>
      </c>
      <c r="AC13" s="752">
        <f>AA13/AA14</f>
        <v>3</v>
      </c>
      <c r="AD13" s="495"/>
      <c r="AE13" s="462"/>
      <c r="AF13" s="462"/>
      <c r="AG13" s="598">
        <f>T13</f>
        <v>12</v>
      </c>
      <c r="AH13" s="656">
        <f>T11</f>
        <v>9</v>
      </c>
      <c r="AK13" s="629"/>
      <c r="AL13" s="630"/>
      <c r="AM13" s="630"/>
    </row>
    <row r="14" spans="1:70" ht="15" customHeight="1">
      <c r="D14" s="498"/>
      <c r="E14" s="494"/>
      <c r="F14" s="563">
        <f>IF(F13&lt;&gt;"",F13+(F13-F12),"")</f>
        <v>4</v>
      </c>
      <c r="G14" s="572">
        <f t="shared" ref="G14:G19" si="7">IF(AND(ISNUMBER(F13),ISNUMBER(G13),ISNUMBER(F14)),H$6*F14+J$6,"")</f>
        <v>18</v>
      </c>
      <c r="H14" s="666"/>
      <c r="I14" s="628" t="str">
        <f t="shared" ref="I14:I19" si="8">IF(ISNUMBER(G14),IF(ABS(G14-(H$6*F14+J$6))&gt;0.01,"**","Correta!"),"")</f>
        <v>Correta!</v>
      </c>
      <c r="J14" s="462"/>
      <c r="K14" s="552" t="str">
        <f t="shared" si="0"/>
        <v>(</v>
      </c>
      <c r="L14" s="555">
        <f t="shared" si="1"/>
        <v>4</v>
      </c>
      <c r="M14" s="462" t="str">
        <f t="shared" si="3"/>
        <v>;</v>
      </c>
      <c r="N14" s="556">
        <f t="shared" si="2"/>
        <v>18</v>
      </c>
      <c r="O14" s="462" t="str">
        <f t="shared" si="4"/>
        <v>)</v>
      </c>
      <c r="P14" s="495"/>
      <c r="Q14" s="462"/>
      <c r="R14" s="462"/>
      <c r="S14" s="765"/>
      <c r="T14" s="759"/>
      <c r="U14" s="759"/>
      <c r="V14" s="653"/>
      <c r="W14" s="672">
        <f t="shared" si="5"/>
        <v>2</v>
      </c>
      <c r="X14" s="658" t="s">
        <v>22</v>
      </c>
      <c r="Y14" s="672">
        <f t="shared" si="6"/>
        <v>1</v>
      </c>
      <c r="Z14" s="751"/>
      <c r="AA14" s="673">
        <f>W14-Y14</f>
        <v>1</v>
      </c>
      <c r="AB14" s="751"/>
      <c r="AC14" s="753"/>
      <c r="AD14" s="495"/>
      <c r="AE14" s="462"/>
      <c r="AF14" s="462"/>
      <c r="AG14" s="598">
        <f>S13</f>
        <v>2</v>
      </c>
      <c r="AH14" s="657">
        <f>S11</f>
        <v>1</v>
      </c>
      <c r="AK14" s="629"/>
      <c r="AL14" s="630">
        <f t="shared" ref="AL14:AL19" si="9">G14</f>
        <v>18</v>
      </c>
      <c r="AM14" s="630"/>
    </row>
    <row r="15" spans="1:70" ht="15" customHeight="1" thickBot="1">
      <c r="D15" s="498"/>
      <c r="E15" s="494"/>
      <c r="F15" s="563">
        <f t="shared" ref="F15:F19" si="10">IF(F14&lt;&gt;"",F14+(F14-F13),"")</f>
        <v>5</v>
      </c>
      <c r="G15" s="572">
        <f t="shared" si="7"/>
        <v>21</v>
      </c>
      <c r="H15" s="666"/>
      <c r="I15" s="628" t="str">
        <f t="shared" si="8"/>
        <v>Correta!</v>
      </c>
      <c r="J15" s="462"/>
      <c r="K15" s="552" t="str">
        <f t="shared" si="0"/>
        <v>(</v>
      </c>
      <c r="L15" s="555">
        <f t="shared" si="1"/>
        <v>5</v>
      </c>
      <c r="M15" s="462" t="str">
        <f t="shared" si="3"/>
        <v>;</v>
      </c>
      <c r="N15" s="556">
        <f t="shared" si="2"/>
        <v>21</v>
      </c>
      <c r="O15" s="462" t="str">
        <f t="shared" si="4"/>
        <v>)</v>
      </c>
      <c r="P15" s="495"/>
      <c r="Q15" s="462"/>
      <c r="R15" s="462"/>
      <c r="S15" s="765">
        <f>F13</f>
        <v>3</v>
      </c>
      <c r="T15" s="759">
        <f>G13</f>
        <v>15</v>
      </c>
      <c r="U15" s="759"/>
      <c r="V15" s="600"/>
      <c r="W15" s="669">
        <f t="shared" si="5"/>
        <v>15</v>
      </c>
      <c r="X15" s="670" t="s">
        <v>22</v>
      </c>
      <c r="Y15" s="669">
        <f t="shared" si="6"/>
        <v>12</v>
      </c>
      <c r="Z15" s="747" t="s">
        <v>8</v>
      </c>
      <c r="AA15" s="671">
        <f t="shared" ref="AA15:AA28" si="11">W15-Y15</f>
        <v>3</v>
      </c>
      <c r="AB15" s="747" t="s">
        <v>8</v>
      </c>
      <c r="AC15" s="752">
        <f t="shared" ref="AC15" si="12">AA15/AA16</f>
        <v>3</v>
      </c>
      <c r="AD15" s="495"/>
      <c r="AE15" s="462"/>
      <c r="AF15" s="462"/>
      <c r="AG15" s="598">
        <f>T15</f>
        <v>15</v>
      </c>
      <c r="AH15" s="656">
        <f>T13</f>
        <v>12</v>
      </c>
      <c r="AK15" s="629"/>
      <c r="AL15" s="630">
        <f t="shared" si="9"/>
        <v>21</v>
      </c>
      <c r="AM15" s="630"/>
    </row>
    <row r="16" spans="1:70" ht="15" customHeight="1">
      <c r="D16" s="498"/>
      <c r="E16" s="494"/>
      <c r="F16" s="563">
        <f t="shared" si="10"/>
        <v>6</v>
      </c>
      <c r="G16" s="572">
        <f t="shared" si="7"/>
        <v>24</v>
      </c>
      <c r="H16" s="666"/>
      <c r="I16" s="628" t="str">
        <f t="shared" si="8"/>
        <v>Correta!</v>
      </c>
      <c r="J16" s="462"/>
      <c r="K16" s="552" t="str">
        <f t="shared" si="0"/>
        <v>(</v>
      </c>
      <c r="L16" s="555">
        <f t="shared" si="1"/>
        <v>6</v>
      </c>
      <c r="M16" s="462" t="str">
        <f t="shared" si="3"/>
        <v>;</v>
      </c>
      <c r="N16" s="556">
        <f t="shared" si="2"/>
        <v>24</v>
      </c>
      <c r="O16" s="462" t="str">
        <f t="shared" si="4"/>
        <v>)</v>
      </c>
      <c r="P16" s="495"/>
      <c r="Q16" s="462"/>
      <c r="R16" s="462"/>
      <c r="S16" s="765"/>
      <c r="T16" s="759"/>
      <c r="U16" s="759"/>
      <c r="V16" s="653"/>
      <c r="W16" s="672">
        <f t="shared" si="5"/>
        <v>3</v>
      </c>
      <c r="X16" s="658" t="s">
        <v>22</v>
      </c>
      <c r="Y16" s="672">
        <f t="shared" si="6"/>
        <v>2</v>
      </c>
      <c r="Z16" s="751"/>
      <c r="AA16" s="673">
        <f t="shared" si="11"/>
        <v>1</v>
      </c>
      <c r="AB16" s="751"/>
      <c r="AC16" s="753"/>
      <c r="AD16" s="495"/>
      <c r="AE16" s="462"/>
      <c r="AF16" s="462"/>
      <c r="AG16" s="598">
        <f>S15</f>
        <v>3</v>
      </c>
      <c r="AH16" s="657">
        <f t="shared" ref="AH16:AH28" si="13">AG14</f>
        <v>2</v>
      </c>
      <c r="AK16" s="629"/>
      <c r="AL16" s="630">
        <f t="shared" si="9"/>
        <v>24</v>
      </c>
      <c r="AM16" s="630"/>
    </row>
    <row r="17" spans="2:39" ht="15" customHeight="1" thickBot="1">
      <c r="D17" s="498"/>
      <c r="E17" s="494"/>
      <c r="F17" s="563">
        <f t="shared" si="10"/>
        <v>7</v>
      </c>
      <c r="G17" s="572">
        <f t="shared" si="7"/>
        <v>27</v>
      </c>
      <c r="H17" s="666"/>
      <c r="I17" s="628" t="str">
        <f t="shared" si="8"/>
        <v>Correta!</v>
      </c>
      <c r="J17" s="462"/>
      <c r="K17" s="552" t="str">
        <f t="shared" si="0"/>
        <v>(</v>
      </c>
      <c r="L17" s="555">
        <f t="shared" si="1"/>
        <v>7</v>
      </c>
      <c r="M17" s="462" t="str">
        <f t="shared" si="3"/>
        <v>;</v>
      </c>
      <c r="N17" s="556">
        <f t="shared" si="2"/>
        <v>27</v>
      </c>
      <c r="O17" s="462" t="str">
        <f t="shared" si="4"/>
        <v>)</v>
      </c>
      <c r="P17" s="495"/>
      <c r="Q17" s="462"/>
      <c r="R17" s="462"/>
      <c r="S17" s="765">
        <f>F14</f>
        <v>4</v>
      </c>
      <c r="T17" s="759">
        <f>G14</f>
        <v>18</v>
      </c>
      <c r="U17" s="759"/>
      <c r="V17" s="600"/>
      <c r="W17" s="669">
        <f t="shared" si="5"/>
        <v>18</v>
      </c>
      <c r="X17" s="670" t="s">
        <v>22</v>
      </c>
      <c r="Y17" s="669">
        <f t="shared" si="6"/>
        <v>15</v>
      </c>
      <c r="Z17" s="747" t="s">
        <v>8</v>
      </c>
      <c r="AA17" s="671">
        <f t="shared" si="11"/>
        <v>3</v>
      </c>
      <c r="AB17" s="747" t="s">
        <v>8</v>
      </c>
      <c r="AC17" s="752">
        <f t="shared" ref="AC17" si="14">AA17/AA18</f>
        <v>3</v>
      </c>
      <c r="AD17" s="495"/>
      <c r="AE17" s="462"/>
      <c r="AF17" s="462"/>
      <c r="AG17" s="598">
        <f>T17</f>
        <v>18</v>
      </c>
      <c r="AH17" s="656">
        <f t="shared" si="13"/>
        <v>15</v>
      </c>
      <c r="AK17" s="629"/>
      <c r="AL17" s="630">
        <f t="shared" si="9"/>
        <v>27</v>
      </c>
      <c r="AM17" s="630"/>
    </row>
    <row r="18" spans="2:39" ht="15" customHeight="1">
      <c r="D18" s="498"/>
      <c r="E18" s="494"/>
      <c r="F18" s="563">
        <f t="shared" si="10"/>
        <v>8</v>
      </c>
      <c r="G18" s="572">
        <f t="shared" si="7"/>
        <v>30</v>
      </c>
      <c r="H18" s="666"/>
      <c r="I18" s="628" t="str">
        <f t="shared" si="8"/>
        <v>Correta!</v>
      </c>
      <c r="J18" s="462"/>
      <c r="K18" s="552" t="str">
        <f t="shared" si="0"/>
        <v>(</v>
      </c>
      <c r="L18" s="555">
        <f t="shared" si="1"/>
        <v>8</v>
      </c>
      <c r="M18" s="462" t="str">
        <f t="shared" si="3"/>
        <v>;</v>
      </c>
      <c r="N18" s="556">
        <f t="shared" si="2"/>
        <v>30</v>
      </c>
      <c r="O18" s="462" t="str">
        <f t="shared" si="4"/>
        <v>)</v>
      </c>
      <c r="P18" s="495"/>
      <c r="Q18" s="462"/>
      <c r="R18" s="462"/>
      <c r="S18" s="765"/>
      <c r="T18" s="759"/>
      <c r="U18" s="759"/>
      <c r="V18" s="653"/>
      <c r="W18" s="672">
        <f t="shared" si="5"/>
        <v>4</v>
      </c>
      <c r="X18" s="658" t="s">
        <v>22</v>
      </c>
      <c r="Y18" s="672">
        <f t="shared" si="6"/>
        <v>3</v>
      </c>
      <c r="Z18" s="751"/>
      <c r="AA18" s="673">
        <f t="shared" si="11"/>
        <v>1</v>
      </c>
      <c r="AB18" s="751"/>
      <c r="AC18" s="753"/>
      <c r="AD18" s="495"/>
      <c r="AE18" s="462"/>
      <c r="AF18" s="462"/>
      <c r="AG18" s="598">
        <f>S17</f>
        <v>4</v>
      </c>
      <c r="AH18" s="657">
        <f t="shared" si="13"/>
        <v>3</v>
      </c>
      <c r="AK18" s="629"/>
      <c r="AL18" s="630">
        <f t="shared" si="9"/>
        <v>30</v>
      </c>
      <c r="AM18" s="630"/>
    </row>
    <row r="19" spans="2:39" ht="15" customHeight="1" thickBot="1">
      <c r="D19" s="498"/>
      <c r="E19" s="494"/>
      <c r="F19" s="622">
        <f t="shared" si="10"/>
        <v>9</v>
      </c>
      <c r="G19" s="574">
        <f t="shared" si="7"/>
        <v>33</v>
      </c>
      <c r="H19" s="667"/>
      <c r="I19" s="628" t="str">
        <f t="shared" si="8"/>
        <v>Correta!</v>
      </c>
      <c r="J19" s="462"/>
      <c r="K19" s="680" t="str">
        <f t="shared" si="0"/>
        <v>(</v>
      </c>
      <c r="L19" s="681">
        <f t="shared" si="1"/>
        <v>9</v>
      </c>
      <c r="M19" s="682" t="str">
        <f t="shared" si="3"/>
        <v>;</v>
      </c>
      <c r="N19" s="683">
        <f t="shared" si="2"/>
        <v>33</v>
      </c>
      <c r="O19" s="682" t="str">
        <f t="shared" si="4"/>
        <v>)</v>
      </c>
      <c r="P19" s="495"/>
      <c r="Q19" s="462"/>
      <c r="R19" s="462"/>
      <c r="S19" s="761">
        <f>F15</f>
        <v>5</v>
      </c>
      <c r="T19" s="759">
        <f>G15</f>
        <v>21</v>
      </c>
      <c r="U19" s="759"/>
      <c r="V19" s="600"/>
      <c r="W19" s="669">
        <f t="shared" si="5"/>
        <v>21</v>
      </c>
      <c r="X19" s="670" t="s">
        <v>22</v>
      </c>
      <c r="Y19" s="669">
        <f t="shared" si="6"/>
        <v>18</v>
      </c>
      <c r="Z19" s="747" t="s">
        <v>8</v>
      </c>
      <c r="AA19" s="671">
        <f t="shared" si="11"/>
        <v>3</v>
      </c>
      <c r="AB19" s="747" t="s">
        <v>8</v>
      </c>
      <c r="AC19" s="752">
        <f t="shared" ref="AC19" si="15">AA19/AA20</f>
        <v>3</v>
      </c>
      <c r="AD19" s="639"/>
      <c r="AE19" s="632"/>
      <c r="AF19" s="632"/>
      <c r="AG19" s="598">
        <f>T19</f>
        <v>21</v>
      </c>
      <c r="AH19" s="656">
        <f t="shared" si="13"/>
        <v>18</v>
      </c>
      <c r="AK19" s="629"/>
      <c r="AL19" s="630">
        <f t="shared" si="9"/>
        <v>33</v>
      </c>
      <c r="AM19" s="630"/>
    </row>
    <row r="20" spans="2:39" ht="15" customHeight="1">
      <c r="D20" s="498"/>
      <c r="E20" s="494"/>
      <c r="F20" s="631"/>
      <c r="G20" s="623"/>
      <c r="H20" s="668"/>
      <c r="I20" s="558"/>
      <c r="J20" s="462"/>
      <c r="K20" s="632"/>
      <c r="L20" s="632"/>
      <c r="M20" s="632"/>
      <c r="N20" s="632"/>
      <c r="O20" s="632"/>
      <c r="P20" s="639"/>
      <c r="Q20" s="462"/>
      <c r="R20" s="462"/>
      <c r="S20" s="766"/>
      <c r="T20" s="759"/>
      <c r="U20" s="759"/>
      <c r="V20" s="653"/>
      <c r="W20" s="672">
        <f t="shared" si="5"/>
        <v>5</v>
      </c>
      <c r="X20" s="658" t="s">
        <v>22</v>
      </c>
      <c r="Y20" s="672">
        <f t="shared" si="6"/>
        <v>4</v>
      </c>
      <c r="Z20" s="751"/>
      <c r="AA20" s="673">
        <f t="shared" si="11"/>
        <v>1</v>
      </c>
      <c r="AB20" s="751"/>
      <c r="AC20" s="753"/>
      <c r="AD20" s="639"/>
      <c r="AE20" s="632"/>
      <c r="AF20" s="632"/>
      <c r="AG20" s="598">
        <f>S19</f>
        <v>5</v>
      </c>
      <c r="AH20" s="657">
        <f t="shared" si="13"/>
        <v>4</v>
      </c>
      <c r="AK20" s="629"/>
      <c r="AL20" s="630"/>
      <c r="AM20" s="630"/>
    </row>
    <row r="21" spans="2:39" ht="15" customHeight="1" thickBot="1">
      <c r="D21" s="498"/>
      <c r="E21" s="494"/>
      <c r="F21" s="511" t="s">
        <v>202</v>
      </c>
      <c r="G21" s="462"/>
      <c r="H21" s="635"/>
      <c r="I21" s="462"/>
      <c r="J21" s="632"/>
      <c r="K21" s="462"/>
      <c r="L21" s="462"/>
      <c r="M21" s="462"/>
      <c r="N21" s="462"/>
      <c r="O21" s="635"/>
      <c r="P21" s="643"/>
      <c r="Q21" s="462"/>
      <c r="R21" s="462"/>
      <c r="S21" s="761">
        <f>F16</f>
        <v>6</v>
      </c>
      <c r="T21" s="760">
        <f>G16</f>
        <v>24</v>
      </c>
      <c r="U21" s="759"/>
      <c r="V21" s="600"/>
      <c r="W21" s="669">
        <f t="shared" si="5"/>
        <v>24</v>
      </c>
      <c r="X21" s="670" t="s">
        <v>22</v>
      </c>
      <c r="Y21" s="669">
        <f t="shared" si="6"/>
        <v>21</v>
      </c>
      <c r="Z21" s="747" t="s">
        <v>8</v>
      </c>
      <c r="AA21" s="671">
        <f t="shared" si="11"/>
        <v>3</v>
      </c>
      <c r="AB21" s="747" t="s">
        <v>8</v>
      </c>
      <c r="AC21" s="752">
        <f t="shared" ref="AC21" si="16">AA21/AA22</f>
        <v>3</v>
      </c>
      <c r="AD21" s="639"/>
      <c r="AE21" s="632"/>
      <c r="AF21" s="632"/>
      <c r="AG21" s="598">
        <f>T21</f>
        <v>24</v>
      </c>
      <c r="AH21" s="656">
        <f t="shared" si="13"/>
        <v>21</v>
      </c>
      <c r="AK21" s="629"/>
      <c r="AL21" s="630"/>
      <c r="AM21" s="630"/>
    </row>
    <row r="22" spans="2:39" ht="15" customHeight="1">
      <c r="D22" s="498"/>
      <c r="E22" s="644"/>
      <c r="F22" s="650" t="s">
        <v>193</v>
      </c>
      <c r="G22" s="773" t="s">
        <v>8</v>
      </c>
      <c r="H22" s="634" t="s">
        <v>194</v>
      </c>
      <c r="I22" s="773" t="s">
        <v>8</v>
      </c>
      <c r="J22" s="684" t="str">
        <f>CONCATENATE(N19," - ",N11)</f>
        <v>33 - 9</v>
      </c>
      <c r="K22" s="633" t="s">
        <v>8</v>
      </c>
      <c r="L22" s="648">
        <f>N19-N11</f>
        <v>24</v>
      </c>
      <c r="M22" s="774" t="s">
        <v>8</v>
      </c>
      <c r="N22" s="775">
        <f>L22/L23</f>
        <v>3</v>
      </c>
      <c r="O22" s="635"/>
      <c r="P22" s="643"/>
      <c r="Q22" s="462"/>
      <c r="R22" s="462"/>
      <c r="S22" s="766"/>
      <c r="T22" s="759"/>
      <c r="U22" s="759"/>
      <c r="V22" s="653"/>
      <c r="W22" s="672">
        <f t="shared" si="5"/>
        <v>6</v>
      </c>
      <c r="X22" s="658" t="s">
        <v>22</v>
      </c>
      <c r="Y22" s="672">
        <f t="shared" si="6"/>
        <v>5</v>
      </c>
      <c r="Z22" s="751"/>
      <c r="AA22" s="673">
        <f t="shared" si="11"/>
        <v>1</v>
      </c>
      <c r="AB22" s="751"/>
      <c r="AC22" s="753"/>
      <c r="AD22" s="639"/>
      <c r="AE22" s="632"/>
      <c r="AF22" s="632"/>
      <c r="AG22" s="598">
        <f>S21</f>
        <v>6</v>
      </c>
      <c r="AH22" s="656">
        <f t="shared" si="13"/>
        <v>5</v>
      </c>
      <c r="AK22" s="629"/>
      <c r="AL22" s="630"/>
      <c r="AM22" s="630"/>
    </row>
    <row r="23" spans="2:39" ht="15" customHeight="1" thickBot="1">
      <c r="D23" s="498"/>
      <c r="E23" s="644"/>
      <c r="F23" s="649" t="s">
        <v>195</v>
      </c>
      <c r="G23" s="773"/>
      <c r="H23" s="635" t="s">
        <v>196</v>
      </c>
      <c r="I23" s="773"/>
      <c r="J23" s="685" t="str">
        <f>CONCATENATE(L19," - ",L11)</f>
        <v>9 - 1</v>
      </c>
      <c r="K23" s="633"/>
      <c r="L23" s="647">
        <f>L19-L11</f>
        <v>8</v>
      </c>
      <c r="M23" s="774"/>
      <c r="N23" s="775"/>
      <c r="O23" s="462"/>
      <c r="P23" s="495"/>
      <c r="Q23" s="462"/>
      <c r="R23" s="462"/>
      <c r="S23" s="761">
        <f>F17</f>
        <v>7</v>
      </c>
      <c r="T23" s="760">
        <f>G17</f>
        <v>27</v>
      </c>
      <c r="U23" s="759"/>
      <c r="V23" s="600"/>
      <c r="W23" s="669">
        <f t="shared" si="5"/>
        <v>27</v>
      </c>
      <c r="X23" s="670" t="s">
        <v>22</v>
      </c>
      <c r="Y23" s="669">
        <f t="shared" si="6"/>
        <v>24</v>
      </c>
      <c r="Z23" s="747" t="s">
        <v>8</v>
      </c>
      <c r="AA23" s="671">
        <f t="shared" si="11"/>
        <v>3</v>
      </c>
      <c r="AB23" s="747" t="s">
        <v>8</v>
      </c>
      <c r="AC23" s="752">
        <f t="shared" ref="AC23" si="17">AA23/AA24</f>
        <v>3</v>
      </c>
      <c r="AD23" s="639"/>
      <c r="AE23" s="632"/>
      <c r="AF23" s="632"/>
      <c r="AG23" s="598">
        <f>T23</f>
        <v>27</v>
      </c>
      <c r="AH23" s="657">
        <f t="shared" si="13"/>
        <v>24</v>
      </c>
      <c r="AK23" s="629"/>
      <c r="AL23" s="630"/>
      <c r="AM23" s="630"/>
    </row>
    <row r="24" spans="2:39" ht="15" customHeight="1">
      <c r="D24" s="498"/>
      <c r="E24" s="494"/>
      <c r="F24" s="645"/>
      <c r="G24" s="462"/>
      <c r="H24" s="635"/>
      <c r="I24" s="462"/>
      <c r="J24" s="462"/>
      <c r="K24" s="462"/>
      <c r="L24" s="462"/>
      <c r="M24" s="462"/>
      <c r="N24" s="462"/>
      <c r="O24" s="462"/>
      <c r="P24" s="495"/>
      <c r="Q24" s="462"/>
      <c r="R24" s="462"/>
      <c r="S24" s="766"/>
      <c r="T24" s="759"/>
      <c r="U24" s="759"/>
      <c r="V24" s="653"/>
      <c r="W24" s="672">
        <f t="shared" si="5"/>
        <v>7</v>
      </c>
      <c r="X24" s="658" t="s">
        <v>22</v>
      </c>
      <c r="Y24" s="672">
        <f t="shared" si="6"/>
        <v>6</v>
      </c>
      <c r="Z24" s="751"/>
      <c r="AA24" s="673">
        <f t="shared" si="11"/>
        <v>1</v>
      </c>
      <c r="AB24" s="751"/>
      <c r="AC24" s="753"/>
      <c r="AD24" s="639"/>
      <c r="AE24" s="632"/>
      <c r="AF24" s="632"/>
      <c r="AG24" s="598">
        <f>S23</f>
        <v>7</v>
      </c>
      <c r="AH24" s="656">
        <f t="shared" si="13"/>
        <v>6</v>
      </c>
      <c r="AK24" s="629"/>
      <c r="AL24" s="630"/>
      <c r="AM24" s="630"/>
    </row>
    <row r="25" spans="2:39" ht="15" customHeight="1" thickBot="1">
      <c r="D25" s="498"/>
      <c r="E25" s="494"/>
      <c r="F25" s="651" t="s">
        <v>198</v>
      </c>
      <c r="G25" s="462"/>
      <c r="H25" s="635"/>
      <c r="I25" s="462"/>
      <c r="J25" s="462"/>
      <c r="K25" s="462"/>
      <c r="L25" s="462"/>
      <c r="M25" s="462"/>
      <c r="N25" s="462"/>
      <c r="O25" s="462"/>
      <c r="P25" s="495"/>
      <c r="Q25" s="462"/>
      <c r="R25" s="462"/>
      <c r="S25" s="761">
        <f>F18</f>
        <v>8</v>
      </c>
      <c r="T25" s="760">
        <f>G18</f>
        <v>30</v>
      </c>
      <c r="U25" s="759"/>
      <c r="V25" s="600"/>
      <c r="W25" s="669">
        <f t="shared" si="5"/>
        <v>30</v>
      </c>
      <c r="X25" s="670" t="s">
        <v>22</v>
      </c>
      <c r="Y25" s="669">
        <f t="shared" si="6"/>
        <v>27</v>
      </c>
      <c r="Z25" s="747" t="s">
        <v>8</v>
      </c>
      <c r="AA25" s="671">
        <f t="shared" si="11"/>
        <v>3</v>
      </c>
      <c r="AB25" s="747" t="s">
        <v>8</v>
      </c>
      <c r="AC25" s="752">
        <f t="shared" ref="AC25" si="18">AA25/AA26</f>
        <v>3</v>
      </c>
      <c r="AD25" s="639"/>
      <c r="AE25" s="632"/>
      <c r="AF25" s="632"/>
      <c r="AG25" s="598">
        <f>T25</f>
        <v>30</v>
      </c>
      <c r="AH25" s="656">
        <f t="shared" si="13"/>
        <v>27</v>
      </c>
      <c r="AK25" s="629"/>
      <c r="AL25" s="630"/>
      <c r="AM25" s="630"/>
    </row>
    <row r="26" spans="2:39" ht="15" customHeight="1">
      <c r="D26" s="498"/>
      <c r="E26" s="494"/>
      <c r="F26" s="651" t="s">
        <v>220</v>
      </c>
      <c r="G26" s="462"/>
      <c r="H26" s="635"/>
      <c r="I26" s="462"/>
      <c r="J26" s="462"/>
      <c r="K26" s="462"/>
      <c r="L26" s="462"/>
      <c r="M26" s="462"/>
      <c r="N26" s="462"/>
      <c r="O26" s="462"/>
      <c r="P26" s="495"/>
      <c r="Q26" s="462"/>
      <c r="R26" s="462"/>
      <c r="S26" s="764"/>
      <c r="T26" s="759"/>
      <c r="U26" s="759"/>
      <c r="V26" s="653"/>
      <c r="W26" s="672">
        <f t="shared" si="5"/>
        <v>8</v>
      </c>
      <c r="X26" s="658" t="s">
        <v>22</v>
      </c>
      <c r="Y26" s="672">
        <f t="shared" si="6"/>
        <v>7</v>
      </c>
      <c r="Z26" s="751"/>
      <c r="AA26" s="673">
        <f t="shared" si="11"/>
        <v>1</v>
      </c>
      <c r="AB26" s="751"/>
      <c r="AC26" s="753"/>
      <c r="AD26" s="639"/>
      <c r="AE26" s="632"/>
      <c r="AF26" s="632"/>
      <c r="AG26" s="598">
        <f>S25</f>
        <v>8</v>
      </c>
      <c r="AH26" s="657">
        <f t="shared" si="13"/>
        <v>7</v>
      </c>
      <c r="AL26" s="543"/>
      <c r="AM26" s="543"/>
    </row>
    <row r="27" spans="2:39" ht="15" customHeight="1" thickBot="1">
      <c r="D27" s="498"/>
      <c r="E27" s="678"/>
      <c r="F27" s="462"/>
      <c r="G27" s="462"/>
      <c r="H27" s="635"/>
      <c r="I27" s="462"/>
      <c r="J27" s="462"/>
      <c r="K27" s="462"/>
      <c r="L27" s="462"/>
      <c r="M27" s="462"/>
      <c r="N27" s="462"/>
      <c r="O27" s="462"/>
      <c r="P27" s="495"/>
      <c r="Q27" s="462"/>
      <c r="R27" s="462"/>
      <c r="S27" s="761">
        <f>F19</f>
        <v>9</v>
      </c>
      <c r="T27" s="760">
        <f>G19</f>
        <v>33</v>
      </c>
      <c r="U27" s="759"/>
      <c r="V27" s="600"/>
      <c r="W27" s="669">
        <f t="shared" si="5"/>
        <v>33</v>
      </c>
      <c r="X27" s="670" t="s">
        <v>22</v>
      </c>
      <c r="Y27" s="669">
        <f t="shared" si="6"/>
        <v>30</v>
      </c>
      <c r="Z27" s="747" t="s">
        <v>8</v>
      </c>
      <c r="AA27" s="671">
        <f t="shared" si="11"/>
        <v>3</v>
      </c>
      <c r="AB27" s="747" t="s">
        <v>8</v>
      </c>
      <c r="AC27" s="752">
        <f t="shared" ref="AC27" si="19">AA27/AA28</f>
        <v>3</v>
      </c>
      <c r="AD27" s="639"/>
      <c r="AE27" s="632"/>
      <c r="AF27" s="632"/>
      <c r="AG27" s="598">
        <f>T27</f>
        <v>33</v>
      </c>
      <c r="AH27" s="657">
        <f t="shared" si="13"/>
        <v>30</v>
      </c>
    </row>
    <row r="28" spans="2:39" ht="12.75" customHeight="1" thickBot="1">
      <c r="D28" s="498"/>
      <c r="E28" s="679"/>
      <c r="F28" s="509"/>
      <c r="G28" s="509"/>
      <c r="H28" s="652"/>
      <c r="I28" s="509"/>
      <c r="J28" s="509"/>
      <c r="K28" s="509"/>
      <c r="L28" s="509"/>
      <c r="M28" s="509"/>
      <c r="N28" s="509"/>
      <c r="O28" s="509"/>
      <c r="P28" s="505"/>
      <c r="Q28" s="462"/>
      <c r="R28" s="462"/>
      <c r="S28" s="762"/>
      <c r="T28" s="763"/>
      <c r="U28" s="763"/>
      <c r="V28" s="599"/>
      <c r="W28" s="674">
        <f t="shared" si="5"/>
        <v>9</v>
      </c>
      <c r="X28" s="675" t="s">
        <v>22</v>
      </c>
      <c r="Y28" s="674">
        <f t="shared" si="6"/>
        <v>8</v>
      </c>
      <c r="Z28" s="748"/>
      <c r="AA28" s="676">
        <f t="shared" si="11"/>
        <v>1</v>
      </c>
      <c r="AB28" s="748"/>
      <c r="AC28" s="754"/>
      <c r="AD28" s="677"/>
      <c r="AE28" s="632"/>
      <c r="AF28" s="632"/>
      <c r="AG28" s="598">
        <f>S27</f>
        <v>9</v>
      </c>
      <c r="AH28" s="657">
        <f t="shared" si="13"/>
        <v>8</v>
      </c>
    </row>
    <row r="29" spans="2:39" ht="12.75" customHeight="1">
      <c r="B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98">
        <f>S28</f>
        <v>0</v>
      </c>
      <c r="AH29" s="538"/>
    </row>
    <row r="30" spans="2:39" ht="12.75" customHeight="1">
      <c r="B30" s="538"/>
      <c r="H30" s="534"/>
      <c r="Q30" s="534"/>
      <c r="R30" s="534"/>
      <c r="S30" s="534"/>
      <c r="T30" s="534"/>
      <c r="U30" s="534"/>
      <c r="V30" s="534"/>
      <c r="AG30" s="534"/>
      <c r="AH30" s="538"/>
    </row>
    <row r="31" spans="2:39" ht="12.75" customHeight="1">
      <c r="B31" s="538"/>
      <c r="C31" s="538"/>
      <c r="D31" s="538"/>
      <c r="E31" s="538"/>
      <c r="F31" s="538"/>
      <c r="G31" s="538"/>
      <c r="H31" s="538"/>
      <c r="I31" s="538"/>
      <c r="J31" s="538"/>
      <c r="K31" s="538"/>
      <c r="L31" s="538"/>
      <c r="M31" s="538"/>
      <c r="N31" s="538"/>
      <c r="O31" s="538"/>
      <c r="P31" s="538"/>
      <c r="Q31" s="538"/>
      <c r="R31" s="538"/>
      <c r="S31" s="538"/>
      <c r="T31" s="538"/>
      <c r="U31" s="538"/>
      <c r="V31" s="538"/>
      <c r="W31" s="538"/>
      <c r="X31" s="538"/>
      <c r="Y31" s="538"/>
      <c r="Z31" s="538"/>
      <c r="AA31" s="538"/>
      <c r="AB31" s="538"/>
      <c r="AC31" s="538"/>
      <c r="AD31" s="538"/>
      <c r="AE31" s="538"/>
      <c r="AF31" s="538"/>
      <c r="AG31" s="538"/>
      <c r="AH31" s="538"/>
    </row>
    <row r="32" spans="2:39" ht="12.75" customHeight="1">
      <c r="B32" s="541"/>
    </row>
    <row r="33" spans="2:2" ht="12.75" customHeight="1">
      <c r="B33" s="541"/>
    </row>
    <row r="34" spans="2:2" ht="15.6">
      <c r="B34" s="541"/>
    </row>
    <row r="35" spans="2:2" ht="15.6">
      <c r="B35" s="541"/>
    </row>
    <row r="36" spans="2:2" ht="15.6">
      <c r="B36" s="541"/>
    </row>
    <row r="37" spans="2:2" ht="15.6">
      <c r="B37" s="541"/>
    </row>
    <row r="38" spans="2:2" ht="15.6">
      <c r="B38" s="541"/>
    </row>
    <row r="39" spans="2:2" ht="15.6">
      <c r="B39" s="541"/>
    </row>
    <row r="40" spans="2:2" ht="15.6">
      <c r="B40" s="541"/>
    </row>
    <row r="41" spans="2:2" ht="15.6">
      <c r="B41" s="541"/>
    </row>
    <row r="42" spans="2:2" ht="15.6">
      <c r="B42" s="541"/>
    </row>
    <row r="43" spans="2:2" ht="15.6">
      <c r="B43" s="541"/>
    </row>
    <row r="44" spans="2:2" ht="15.6">
      <c r="B44" s="541"/>
    </row>
    <row r="45" spans="2:2" ht="15.6">
      <c r="B45" s="541"/>
    </row>
    <row r="46" spans="2:2" ht="15.6">
      <c r="B46" s="541"/>
    </row>
    <row r="47" spans="2:2" ht="15.6">
      <c r="B47" s="541"/>
    </row>
    <row r="48" spans="2:2" ht="15.6">
      <c r="B48" s="541"/>
    </row>
    <row r="49" spans="2:2" ht="15.6">
      <c r="B49" s="541"/>
    </row>
    <row r="50" spans="2:2" ht="15.6">
      <c r="B50" s="541"/>
    </row>
    <row r="51" spans="2:2" ht="15.6">
      <c r="B51" s="541"/>
    </row>
    <row r="52" spans="2:2" ht="15.6">
      <c r="B52" s="541"/>
    </row>
    <row r="53" spans="2:2" ht="15.6">
      <c r="B53" s="541"/>
    </row>
    <row r="54" spans="2:2" ht="15.6">
      <c r="B54" s="541"/>
    </row>
    <row r="55" spans="2:2" ht="15.6">
      <c r="B55" s="541"/>
    </row>
    <row r="56" spans="2:2" ht="15.6">
      <c r="B56" s="541"/>
    </row>
    <row r="57" spans="2:2" ht="15.6">
      <c r="B57" s="541"/>
    </row>
    <row r="58" spans="2:2" ht="15.6">
      <c r="B58" s="541"/>
    </row>
    <row r="59" spans="2:2" ht="15.6">
      <c r="B59" s="541"/>
    </row>
    <row r="60" spans="2:2" ht="15.6">
      <c r="B60" s="541"/>
    </row>
    <row r="61" spans="2:2" ht="15.6">
      <c r="B61" s="541"/>
    </row>
    <row r="62" spans="2:2" ht="15.6">
      <c r="B62" s="541"/>
    </row>
    <row r="63" spans="2:2" ht="15.6">
      <c r="B63" s="541"/>
    </row>
    <row r="64" spans="2:2" ht="15.6">
      <c r="B64" s="541"/>
    </row>
    <row r="65" spans="2:2" ht="15.6">
      <c r="B65" s="541"/>
    </row>
    <row r="66" spans="2:2" ht="15.6">
      <c r="B66" s="541"/>
    </row>
    <row r="67" spans="2:2" ht="15.6">
      <c r="B67" s="541"/>
    </row>
    <row r="68" spans="2:2" ht="15.6">
      <c r="B68" s="541"/>
    </row>
    <row r="69" spans="2:2" ht="15.6">
      <c r="B69" s="541"/>
    </row>
    <row r="70" spans="2:2" ht="15.6">
      <c r="B70" s="541"/>
    </row>
    <row r="71" spans="2:2" ht="15.6">
      <c r="B71" s="541"/>
    </row>
    <row r="72" spans="2:2" ht="15.6">
      <c r="B72" s="541"/>
    </row>
    <row r="73" spans="2:2" ht="15.6">
      <c r="B73" s="541"/>
    </row>
    <row r="74" spans="2:2" ht="15.6">
      <c r="B74" s="541"/>
    </row>
    <row r="75" spans="2:2" ht="15.6">
      <c r="B75" s="541"/>
    </row>
    <row r="76" spans="2:2" ht="15.6">
      <c r="B76" s="541"/>
    </row>
    <row r="77" spans="2:2" ht="15.6">
      <c r="B77" s="541"/>
    </row>
    <row r="78" spans="2:2" ht="15.6">
      <c r="B78" s="541"/>
    </row>
    <row r="79" spans="2:2" ht="15.6">
      <c r="B79" s="541"/>
    </row>
    <row r="80" spans="2:2" ht="15.6">
      <c r="B80" s="541"/>
    </row>
    <row r="81" spans="2:2" ht="15.6">
      <c r="B81" s="541"/>
    </row>
    <row r="82" spans="2:2" ht="15.6">
      <c r="B82" s="541"/>
    </row>
    <row r="83" spans="2:2" ht="15.6">
      <c r="B83" s="541"/>
    </row>
    <row r="84" spans="2:2" ht="15.6">
      <c r="B84" s="541"/>
    </row>
    <row r="85" spans="2:2" ht="15.6">
      <c r="B85" s="541"/>
    </row>
    <row r="86" spans="2:2" ht="15.6">
      <c r="B86" s="541"/>
    </row>
    <row r="87" spans="2:2" ht="15.6">
      <c r="B87" s="541"/>
    </row>
    <row r="88" spans="2:2" ht="15.6">
      <c r="B88" s="541"/>
    </row>
    <row r="89" spans="2:2" ht="15.6">
      <c r="B89" s="541"/>
    </row>
    <row r="90" spans="2:2" ht="15.6">
      <c r="B90" s="541"/>
    </row>
    <row r="91" spans="2:2" ht="15.6">
      <c r="B91" s="541"/>
    </row>
    <row r="92" spans="2:2" ht="15.6">
      <c r="B92" s="541"/>
    </row>
    <row r="93" spans="2:2" ht="15.6">
      <c r="B93" s="541"/>
    </row>
    <row r="94" spans="2:2" ht="15.6">
      <c r="B94" s="541"/>
    </row>
    <row r="95" spans="2:2" ht="15.6">
      <c r="B95" s="541"/>
    </row>
    <row r="96" spans="2:2" ht="15.6">
      <c r="B96" s="541"/>
    </row>
    <row r="97" spans="2:2" ht="15.6">
      <c r="B97" s="541"/>
    </row>
    <row r="98" spans="2:2" ht="15.6">
      <c r="B98" s="541"/>
    </row>
    <row r="99" spans="2:2" ht="15.6">
      <c r="B99" s="541"/>
    </row>
    <row r="100" spans="2:2" ht="15.6">
      <c r="B100" s="541"/>
    </row>
    <row r="101" spans="2:2" ht="15.6">
      <c r="B101" s="541"/>
    </row>
    <row r="102" spans="2:2" ht="15.6">
      <c r="B102" s="541"/>
    </row>
    <row r="103" spans="2:2" ht="15.6">
      <c r="B103" s="541"/>
    </row>
    <row r="104" spans="2:2" ht="15.6">
      <c r="B104" s="541"/>
    </row>
    <row r="105" spans="2:2" ht="15.6">
      <c r="B105" s="541"/>
    </row>
    <row r="106" spans="2:2" ht="15.6">
      <c r="B106" s="541"/>
    </row>
    <row r="107" spans="2:2" ht="15.6">
      <c r="B107" s="541"/>
    </row>
    <row r="108" spans="2:2" ht="15.6">
      <c r="B108" s="541"/>
    </row>
    <row r="109" spans="2:2" ht="15.6">
      <c r="B109" s="541"/>
    </row>
    <row r="110" spans="2:2" ht="15.6">
      <c r="B110" s="541"/>
    </row>
    <row r="111" spans="2:2" ht="15.6">
      <c r="B111" s="541"/>
    </row>
    <row r="112" spans="2:2" ht="15.6">
      <c r="B112" s="541"/>
    </row>
    <row r="113" spans="2:2" ht="15.6">
      <c r="B113" s="541"/>
    </row>
    <row r="114" spans="2:2" ht="15.6">
      <c r="B114" s="541"/>
    </row>
    <row r="115" spans="2:2" ht="15.6">
      <c r="B115" s="541"/>
    </row>
    <row r="116" spans="2:2" ht="15.6">
      <c r="B116" s="541"/>
    </row>
    <row r="117" spans="2:2" ht="15.6">
      <c r="B117" s="541"/>
    </row>
    <row r="118" spans="2:2" ht="15.6">
      <c r="B118" s="541"/>
    </row>
    <row r="119" spans="2:2" ht="15.6">
      <c r="B119" s="541"/>
    </row>
    <row r="120" spans="2:2" ht="15.6">
      <c r="B120" s="541"/>
    </row>
    <row r="121" spans="2:2" ht="15.6">
      <c r="B121" s="541"/>
    </row>
    <row r="122" spans="2:2" ht="15.6">
      <c r="B122" s="541"/>
    </row>
    <row r="123" spans="2:2" ht="15.6">
      <c r="B123" s="541"/>
    </row>
    <row r="124" spans="2:2" ht="15.6">
      <c r="B124" s="541"/>
    </row>
    <row r="125" spans="2:2" ht="15.6">
      <c r="B125" s="541"/>
    </row>
    <row r="126" spans="2:2" ht="15.6">
      <c r="B126" s="541"/>
    </row>
    <row r="127" spans="2:2" ht="15.6">
      <c r="B127" s="541"/>
    </row>
    <row r="128" spans="2:2" ht="15.6">
      <c r="B128" s="541"/>
    </row>
    <row r="129" spans="2:2" ht="15.6">
      <c r="B129" s="541"/>
    </row>
    <row r="130" spans="2:2" ht="15.6">
      <c r="B130" s="541"/>
    </row>
    <row r="131" spans="2:2" ht="15.6">
      <c r="B131" s="541"/>
    </row>
    <row r="132" spans="2:2" ht="15.6">
      <c r="B132" s="541"/>
    </row>
    <row r="133" spans="2:2" ht="15.6">
      <c r="B133" s="541"/>
    </row>
    <row r="134" spans="2:2" ht="15.6">
      <c r="B134" s="541"/>
    </row>
    <row r="135" spans="2:2" ht="15.6">
      <c r="B135" s="541"/>
    </row>
    <row r="136" spans="2:2" ht="15.6">
      <c r="B136" s="541"/>
    </row>
    <row r="137" spans="2:2" ht="15.6">
      <c r="B137" s="541"/>
    </row>
    <row r="138" spans="2:2" ht="15.6">
      <c r="B138" s="541"/>
    </row>
    <row r="139" spans="2:2" ht="15.6">
      <c r="B139" s="541"/>
    </row>
    <row r="140" spans="2:2" ht="15.6">
      <c r="B140" s="541"/>
    </row>
    <row r="141" spans="2:2" ht="15.6">
      <c r="B141" s="541"/>
    </row>
    <row r="142" spans="2:2" ht="15.6">
      <c r="B142" s="541"/>
    </row>
    <row r="143" spans="2:2" ht="15.6">
      <c r="B143" s="541"/>
    </row>
    <row r="144" spans="2:2" ht="15.6">
      <c r="B144" s="541"/>
    </row>
    <row r="145" spans="2:2" ht="15.6">
      <c r="B145" s="541"/>
    </row>
    <row r="146" spans="2:2" ht="15.6">
      <c r="B146" s="541"/>
    </row>
    <row r="147" spans="2:2" ht="15.6">
      <c r="B147" s="541"/>
    </row>
    <row r="148" spans="2:2" ht="15.6">
      <c r="B148" s="541"/>
    </row>
    <row r="149" spans="2:2" ht="15.6">
      <c r="B149" s="541"/>
    </row>
    <row r="150" spans="2:2" ht="15.6">
      <c r="B150" s="541"/>
    </row>
    <row r="151" spans="2:2" ht="15.6">
      <c r="B151" s="541"/>
    </row>
    <row r="152" spans="2:2" ht="15.6">
      <c r="B152" s="541"/>
    </row>
    <row r="153" spans="2:2" ht="15.6">
      <c r="B153" s="541"/>
    </row>
    <row r="154" spans="2:2" ht="15.6">
      <c r="B154" s="541"/>
    </row>
    <row r="155" spans="2:2" ht="15.6">
      <c r="B155" s="541"/>
    </row>
    <row r="156" spans="2:2" ht="15.6">
      <c r="B156" s="541"/>
    </row>
    <row r="157" spans="2:2" ht="15.6">
      <c r="B157" s="541"/>
    </row>
    <row r="158" spans="2:2" ht="15.6">
      <c r="B158" s="541"/>
    </row>
    <row r="159" spans="2:2" ht="15.6">
      <c r="B159" s="541"/>
    </row>
    <row r="160" spans="2:2" ht="15.6">
      <c r="B160" s="541"/>
    </row>
    <row r="161" spans="2:2" ht="15.6">
      <c r="B161" s="541"/>
    </row>
    <row r="162" spans="2:2" ht="15.6">
      <c r="B162" s="541"/>
    </row>
    <row r="163" spans="2:2" ht="15.6">
      <c r="B163" s="541"/>
    </row>
    <row r="164" spans="2:2" ht="15.6">
      <c r="B164" s="541"/>
    </row>
    <row r="165" spans="2:2" ht="15.6">
      <c r="B165" s="541"/>
    </row>
    <row r="166" spans="2:2" ht="15.6">
      <c r="B166" s="541"/>
    </row>
    <row r="167" spans="2:2" ht="15.6">
      <c r="B167" s="541"/>
    </row>
    <row r="168" spans="2:2" ht="15.6">
      <c r="B168" s="541"/>
    </row>
    <row r="169" spans="2:2" ht="15.6">
      <c r="B169" s="541"/>
    </row>
    <row r="170" spans="2:2" ht="15.6">
      <c r="B170" s="541"/>
    </row>
    <row r="171" spans="2:2" ht="15.6">
      <c r="B171" s="541"/>
    </row>
    <row r="172" spans="2:2" ht="15.6">
      <c r="B172" s="541"/>
    </row>
    <row r="173" spans="2:2" ht="15.6">
      <c r="B173" s="541"/>
    </row>
    <row r="174" spans="2:2" ht="15.6">
      <c r="B174" s="541"/>
    </row>
    <row r="175" spans="2:2" ht="15.6">
      <c r="B175" s="541"/>
    </row>
    <row r="176" spans="2:2" ht="15.6">
      <c r="B176" s="541"/>
    </row>
    <row r="177" spans="2:2" ht="15.6">
      <c r="B177" s="541"/>
    </row>
    <row r="178" spans="2:2" ht="15.6">
      <c r="B178" s="541"/>
    </row>
    <row r="179" spans="2:2" ht="15.6">
      <c r="B179" s="541"/>
    </row>
    <row r="180" spans="2:2" ht="15.6">
      <c r="B180" s="541"/>
    </row>
    <row r="181" spans="2:2" ht="15.6">
      <c r="B181" s="541"/>
    </row>
    <row r="182" spans="2:2" ht="15.6">
      <c r="B182" s="541"/>
    </row>
    <row r="183" spans="2:2" ht="15.6">
      <c r="B183" s="541"/>
    </row>
    <row r="184" spans="2:2" ht="15.6">
      <c r="B184" s="541"/>
    </row>
    <row r="185" spans="2:2" ht="15.6">
      <c r="B185" s="541"/>
    </row>
    <row r="186" spans="2:2" ht="15.6">
      <c r="B186" s="541"/>
    </row>
    <row r="187" spans="2:2" ht="15.6">
      <c r="B187" s="541"/>
    </row>
    <row r="188" spans="2:2" ht="15.6">
      <c r="B188" s="541"/>
    </row>
    <row r="189" spans="2:2" ht="15.6">
      <c r="B189" s="541"/>
    </row>
    <row r="190" spans="2:2" ht="15.6">
      <c r="B190" s="541"/>
    </row>
    <row r="191" spans="2:2" ht="15.6">
      <c r="B191" s="541"/>
    </row>
    <row r="192" spans="2:2" ht="15.6">
      <c r="B192" s="541"/>
    </row>
    <row r="193" spans="2:2" ht="15.6">
      <c r="B193" s="541"/>
    </row>
    <row r="194" spans="2:2" ht="15.6">
      <c r="B194" s="541"/>
    </row>
    <row r="195" spans="2:2" ht="15.6">
      <c r="B195" s="541"/>
    </row>
    <row r="196" spans="2:2" ht="15.6">
      <c r="B196" s="541"/>
    </row>
    <row r="197" spans="2:2" ht="15.6">
      <c r="B197" s="541"/>
    </row>
    <row r="198" spans="2:2" ht="15.6">
      <c r="B198" s="541"/>
    </row>
    <row r="199" spans="2:2" ht="15.6">
      <c r="B199" s="541"/>
    </row>
    <row r="200" spans="2:2" ht="15.6">
      <c r="B200" s="541"/>
    </row>
    <row r="201" spans="2:2" ht="15.6">
      <c r="B201" s="541"/>
    </row>
    <row r="202" spans="2:2" ht="15.6">
      <c r="B202" s="541"/>
    </row>
    <row r="203" spans="2:2" ht="15.6">
      <c r="B203" s="541"/>
    </row>
    <row r="204" spans="2:2" ht="15.6">
      <c r="B204" s="541"/>
    </row>
    <row r="205" spans="2:2" ht="15.6">
      <c r="B205" s="541"/>
    </row>
    <row r="206" spans="2:2" ht="15.6">
      <c r="B206" s="541"/>
    </row>
    <row r="207" spans="2:2" ht="15.6">
      <c r="B207" s="541"/>
    </row>
    <row r="208" spans="2:2" ht="15.6">
      <c r="B208" s="541"/>
    </row>
    <row r="209" spans="2:2" ht="15.6">
      <c r="B209" s="541"/>
    </row>
    <row r="210" spans="2:2" ht="15.6">
      <c r="B210" s="541"/>
    </row>
    <row r="211" spans="2:2" ht="15.6">
      <c r="B211" s="541"/>
    </row>
    <row r="212" spans="2:2" ht="15.6">
      <c r="B212" s="541"/>
    </row>
    <row r="213" spans="2:2" ht="15.6">
      <c r="B213" s="541"/>
    </row>
    <row r="214" spans="2:2" ht="15.6">
      <c r="B214" s="541"/>
    </row>
    <row r="215" spans="2:2" ht="15.6">
      <c r="B215" s="541"/>
    </row>
    <row r="216" spans="2:2" ht="15.6">
      <c r="B216" s="541"/>
    </row>
    <row r="217" spans="2:2" ht="15.6">
      <c r="B217" s="541"/>
    </row>
    <row r="218" spans="2:2" ht="15.6">
      <c r="B218" s="541"/>
    </row>
    <row r="219" spans="2:2" ht="15.6">
      <c r="B219" s="541"/>
    </row>
    <row r="220" spans="2:2" ht="15.6">
      <c r="B220" s="541"/>
    </row>
    <row r="221" spans="2:2" ht="15.6">
      <c r="B221" s="541"/>
    </row>
    <row r="222" spans="2:2" ht="15.6">
      <c r="B222" s="541"/>
    </row>
    <row r="223" spans="2:2" ht="15.6">
      <c r="B223" s="541"/>
    </row>
    <row r="224" spans="2:2" ht="15.6">
      <c r="B224" s="541"/>
    </row>
    <row r="225" spans="2:2" ht="15.6">
      <c r="B225" s="541"/>
    </row>
    <row r="226" spans="2:2" ht="15.6">
      <c r="B226" s="541"/>
    </row>
    <row r="227" spans="2:2" ht="15.6">
      <c r="B227" s="541"/>
    </row>
    <row r="228" spans="2:2" ht="15.6">
      <c r="B228" s="541"/>
    </row>
    <row r="229" spans="2:2" ht="15.6">
      <c r="B229" s="541"/>
    </row>
    <row r="230" spans="2:2" ht="15.6">
      <c r="B230" s="541"/>
    </row>
    <row r="231" spans="2:2" ht="15.6">
      <c r="B231" s="541"/>
    </row>
    <row r="232" spans="2:2" ht="15.6">
      <c r="B232" s="541"/>
    </row>
    <row r="233" spans="2:2" ht="15.6">
      <c r="B233" s="541"/>
    </row>
    <row r="234" spans="2:2" ht="15.6">
      <c r="B234" s="541"/>
    </row>
    <row r="235" spans="2:2" ht="15.6">
      <c r="B235" s="541"/>
    </row>
    <row r="236" spans="2:2" ht="15.6">
      <c r="B236" s="541"/>
    </row>
    <row r="237" spans="2:2" ht="15.6">
      <c r="B237" s="541"/>
    </row>
    <row r="238" spans="2:2" ht="15.6">
      <c r="B238" s="541"/>
    </row>
    <row r="239" spans="2:2" ht="15.6">
      <c r="B239" s="541"/>
    </row>
    <row r="240" spans="2:2" ht="15.6">
      <c r="B240" s="541"/>
    </row>
    <row r="241" spans="2:2" ht="15.6">
      <c r="B241" s="541"/>
    </row>
    <row r="242" spans="2:2" ht="15.6">
      <c r="B242" s="541"/>
    </row>
    <row r="243" spans="2:2" ht="15.6">
      <c r="B243" s="541"/>
    </row>
    <row r="244" spans="2:2" ht="15.6">
      <c r="B244" s="541"/>
    </row>
    <row r="245" spans="2:2" ht="15.6">
      <c r="B245" s="541"/>
    </row>
    <row r="246" spans="2:2" ht="15.6">
      <c r="B246" s="541"/>
    </row>
    <row r="247" spans="2:2" ht="15.6">
      <c r="B247" s="541"/>
    </row>
    <row r="248" spans="2:2" ht="15.6">
      <c r="B248" s="541"/>
    </row>
    <row r="249" spans="2:2" ht="15.6">
      <c r="B249" s="541"/>
    </row>
    <row r="250" spans="2:2" ht="15.6">
      <c r="B250" s="541"/>
    </row>
    <row r="251" spans="2:2" ht="15.6">
      <c r="B251" s="541"/>
    </row>
    <row r="252" spans="2:2" ht="15.6">
      <c r="B252" s="541"/>
    </row>
    <row r="253" spans="2:2" ht="15.6">
      <c r="B253" s="541"/>
    </row>
    <row r="254" spans="2:2" ht="15.6">
      <c r="B254" s="541"/>
    </row>
    <row r="255" spans="2:2" ht="15.6">
      <c r="B255" s="541"/>
    </row>
    <row r="256" spans="2:2" ht="15.6">
      <c r="B256" s="541"/>
    </row>
    <row r="257" spans="2:2" ht="15.6">
      <c r="B257" s="541"/>
    </row>
    <row r="258" spans="2:2" ht="15.6">
      <c r="B258" s="541"/>
    </row>
    <row r="259" spans="2:2" ht="15.6">
      <c r="B259" s="541"/>
    </row>
    <row r="260" spans="2:2" ht="15.6">
      <c r="B260" s="541"/>
    </row>
    <row r="261" spans="2:2" ht="15.6">
      <c r="B261" s="541"/>
    </row>
    <row r="262" spans="2:2" ht="15.6">
      <c r="B262" s="541"/>
    </row>
    <row r="263" spans="2:2" ht="15.6">
      <c r="B263" s="541"/>
    </row>
    <row r="264" spans="2:2" ht="15.6">
      <c r="B264" s="541"/>
    </row>
    <row r="265" spans="2:2" ht="15.6">
      <c r="B265" s="541"/>
    </row>
    <row r="266" spans="2:2" ht="15.6">
      <c r="B266" s="541"/>
    </row>
    <row r="267" spans="2:2" ht="15.6">
      <c r="B267" s="541"/>
    </row>
  </sheetData>
  <mergeCells count="53">
    <mergeCell ref="I22:I23"/>
    <mergeCell ref="M22:M23"/>
    <mergeCell ref="N22:N23"/>
    <mergeCell ref="G22:G23"/>
    <mergeCell ref="S9:S10"/>
    <mergeCell ref="S21:S22"/>
    <mergeCell ref="S23:S24"/>
    <mergeCell ref="S17:S18"/>
    <mergeCell ref="T17:U18"/>
    <mergeCell ref="S19:S20"/>
    <mergeCell ref="T9:U10"/>
    <mergeCell ref="X9:X10"/>
    <mergeCell ref="S11:S12"/>
    <mergeCell ref="T11:U12"/>
    <mergeCell ref="S13:S14"/>
    <mergeCell ref="T13:U14"/>
    <mergeCell ref="S15:S16"/>
    <mergeCell ref="T15:U16"/>
    <mergeCell ref="T19:U20"/>
    <mergeCell ref="T21:U22"/>
    <mergeCell ref="T23:U24"/>
    <mergeCell ref="T25:U26"/>
    <mergeCell ref="S27:S28"/>
    <mergeCell ref="T27:U28"/>
    <mergeCell ref="S25:S26"/>
    <mergeCell ref="AC11:AC12"/>
    <mergeCell ref="AC13:AC14"/>
    <mergeCell ref="AC15:AC16"/>
    <mergeCell ref="AC17:AC18"/>
    <mergeCell ref="AA9:AA10"/>
    <mergeCell ref="AA11:AA12"/>
    <mergeCell ref="AC27:AC28"/>
    <mergeCell ref="Z13:Z14"/>
    <mergeCell ref="Z15:Z16"/>
    <mergeCell ref="Z17:Z18"/>
    <mergeCell ref="Z19:Z20"/>
    <mergeCell ref="Z21:Z22"/>
    <mergeCell ref="AB27:AB28"/>
    <mergeCell ref="AB9:AC10"/>
    <mergeCell ref="Z23:Z24"/>
    <mergeCell ref="Z25:Z26"/>
    <mergeCell ref="Z27:Z28"/>
    <mergeCell ref="AB13:AB14"/>
    <mergeCell ref="AB15:AB16"/>
    <mergeCell ref="AB17:AB18"/>
    <mergeCell ref="AB19:AB20"/>
    <mergeCell ref="AB21:AB22"/>
    <mergeCell ref="AB23:AB24"/>
    <mergeCell ref="AB25:AB26"/>
    <mergeCell ref="AC19:AC20"/>
    <mergeCell ref="AC21:AC22"/>
    <mergeCell ref="AC23:AC24"/>
    <mergeCell ref="AC25:AC2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Z36"/>
  <sheetViews>
    <sheetView workbookViewId="0">
      <selection activeCell="K7" sqref="K7"/>
    </sheetView>
  </sheetViews>
  <sheetFormatPr defaultColWidth="9.109375" defaultRowHeight="13.2"/>
  <cols>
    <col min="1" max="1" width="2.5546875" style="404" customWidth="1"/>
    <col min="2" max="2" width="1.6640625" style="404" customWidth="1"/>
    <col min="3" max="5" width="3.44140625" style="404" customWidth="1"/>
    <col min="6" max="6" width="9.109375" style="404" customWidth="1"/>
    <col min="7" max="7" width="12.6640625" style="404" customWidth="1"/>
    <col min="8" max="8" width="3.33203125" style="404" customWidth="1"/>
    <col min="9" max="9" width="19.33203125" style="404" customWidth="1"/>
    <col min="10" max="10" width="5.109375" style="404" customWidth="1"/>
    <col min="11" max="11" width="12.88671875" style="404" customWidth="1"/>
    <col min="12" max="12" width="3" style="404" customWidth="1"/>
    <col min="13" max="13" width="8.6640625" style="404" customWidth="1"/>
    <col min="14" max="14" width="5.109375" style="404" customWidth="1"/>
    <col min="15" max="15" width="10" style="404" customWidth="1"/>
    <col min="16" max="16" width="5.44140625" style="404" customWidth="1"/>
    <col min="17" max="17" width="11.6640625" style="404" customWidth="1"/>
    <col min="18" max="18" width="8.33203125" style="404" customWidth="1"/>
    <col min="19" max="21" width="9.109375" style="404"/>
    <col min="22" max="22" width="12" style="404" customWidth="1"/>
    <col min="23" max="23" width="6.33203125" style="404" customWidth="1"/>
    <col min="24" max="24" width="15.5546875" style="404" customWidth="1"/>
    <col min="25" max="26" width="2.33203125" style="404" customWidth="1"/>
    <col min="27" max="16384" width="9.109375" style="404"/>
  </cols>
  <sheetData>
    <row r="2" spans="2:26" ht="7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>
      <c r="B3" s="1"/>
      <c r="Z3" s="1"/>
    </row>
    <row r="4" spans="2:26">
      <c r="B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6" ht="8.25" customHeight="1" thickBot="1">
      <c r="B5" s="1"/>
      <c r="D5" s="1"/>
      <c r="E5" s="1"/>
      <c r="F5" s="462"/>
      <c r="G5" s="1"/>
      <c r="H5" s="1"/>
      <c r="I5" s="1"/>
      <c r="J5" s="1"/>
      <c r="K5" s="1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1"/>
      <c r="W5" s="1"/>
      <c r="X5" s="1"/>
      <c r="Z5" s="1"/>
    </row>
    <row r="6" spans="2:26" ht="41.25" customHeight="1">
      <c r="B6" s="1"/>
      <c r="D6" s="1"/>
      <c r="E6" s="520"/>
      <c r="F6" s="512" t="s">
        <v>164</v>
      </c>
      <c r="G6" s="512"/>
      <c r="H6" s="512"/>
      <c r="I6" s="512"/>
      <c r="J6" s="513"/>
      <c r="K6" s="514"/>
      <c r="L6" s="515"/>
      <c r="M6" s="521"/>
      <c r="N6" s="498"/>
      <c r="O6" s="529"/>
      <c r="P6" s="507"/>
      <c r="Q6" s="506"/>
      <c r="R6" s="507"/>
      <c r="S6" s="507"/>
      <c r="T6" s="507"/>
      <c r="U6" s="507"/>
      <c r="V6" s="506"/>
      <c r="W6" s="530"/>
      <c r="X6" s="1"/>
      <c r="Z6" s="1"/>
    </row>
    <row r="7" spans="2:26" ht="14.25" customHeight="1">
      <c r="B7" s="1"/>
      <c r="D7" s="1"/>
      <c r="E7" s="478"/>
      <c r="F7" s="519" t="s">
        <v>145</v>
      </c>
      <c r="G7" s="779" t="s">
        <v>166</v>
      </c>
      <c r="H7" s="780"/>
      <c r="I7" s="777" t="s">
        <v>163</v>
      </c>
      <c r="J7" s="462"/>
      <c r="K7" s="489"/>
      <c r="L7" s="508"/>
      <c r="M7" s="522"/>
      <c r="N7" s="498"/>
      <c r="O7" s="494"/>
      <c r="P7" s="508"/>
      <c r="Q7" s="462"/>
      <c r="R7" s="508"/>
      <c r="S7" s="462"/>
      <c r="T7" s="462"/>
      <c r="U7" s="462"/>
      <c r="V7" s="462"/>
      <c r="W7" s="495"/>
      <c r="X7" s="1"/>
      <c r="Z7" s="1"/>
    </row>
    <row r="8" spans="2:26" ht="16.5" customHeight="1">
      <c r="B8" s="1"/>
      <c r="D8" s="1"/>
      <c r="E8" s="478"/>
      <c r="F8" s="519"/>
      <c r="G8" s="781"/>
      <c r="H8" s="782"/>
      <c r="I8" s="778"/>
      <c r="J8" s="462"/>
      <c r="K8" s="481"/>
      <c r="L8" s="508"/>
      <c r="M8" s="522"/>
      <c r="N8" s="498"/>
      <c r="O8" s="531"/>
      <c r="P8" s="525" t="s">
        <v>169</v>
      </c>
      <c r="Q8" s="462"/>
      <c r="R8" s="508"/>
      <c r="S8" s="462"/>
      <c r="T8" s="462"/>
      <c r="U8" s="462"/>
      <c r="V8" s="462"/>
      <c r="W8" s="495"/>
      <c r="X8" s="1"/>
      <c r="Z8" s="1"/>
    </row>
    <row r="9" spans="2:26" ht="12" customHeight="1">
      <c r="B9" s="1"/>
      <c r="D9" s="1"/>
      <c r="E9" s="478"/>
      <c r="F9" s="502" t="s">
        <v>146</v>
      </c>
      <c r="G9" s="706">
        <v>0</v>
      </c>
      <c r="H9" s="708"/>
      <c r="I9" s="711">
        <v>2.3370000000000002</v>
      </c>
      <c r="J9" s="462"/>
      <c r="K9" s="462"/>
      <c r="L9" s="508"/>
      <c r="M9" s="522"/>
      <c r="N9" s="498"/>
      <c r="O9" s="531"/>
      <c r="P9" s="484" t="s">
        <v>162</v>
      </c>
      <c r="Q9" s="483" t="str">
        <f>CONCATENATE("(",G9,";   ",I9,")")</f>
        <v>(0;   2,337)</v>
      </c>
      <c r="R9" s="462"/>
      <c r="S9" s="462"/>
      <c r="T9" s="462"/>
      <c r="U9" s="462"/>
      <c r="V9" s="462"/>
      <c r="W9" s="495"/>
      <c r="X9" s="1"/>
      <c r="Z9" s="1"/>
    </row>
    <row r="10" spans="2:26" ht="12" customHeight="1">
      <c r="B10" s="1"/>
      <c r="D10" s="1"/>
      <c r="E10" s="478"/>
      <c r="F10" s="502" t="s">
        <v>147</v>
      </c>
      <c r="G10" s="707">
        <v>1</v>
      </c>
      <c r="H10" s="709"/>
      <c r="I10" s="712">
        <v>2.3161999999999998</v>
      </c>
      <c r="J10" s="462"/>
      <c r="K10" s="480"/>
      <c r="L10" s="508"/>
      <c r="M10" s="522"/>
      <c r="N10" s="498"/>
      <c r="O10" s="494"/>
      <c r="P10" s="508"/>
      <c r="Q10" s="462"/>
      <c r="R10" s="462"/>
      <c r="S10" s="462"/>
      <c r="T10" s="462"/>
      <c r="U10" s="462"/>
      <c r="V10" s="462"/>
      <c r="W10" s="495"/>
      <c r="X10" s="1"/>
      <c r="Z10" s="1"/>
    </row>
    <row r="11" spans="2:26" ht="12.75" customHeight="1">
      <c r="B11" s="1"/>
      <c r="D11" s="1"/>
      <c r="E11" s="478"/>
      <c r="F11" s="502" t="s">
        <v>148</v>
      </c>
      <c r="G11" s="707">
        <v>2</v>
      </c>
      <c r="H11" s="709"/>
      <c r="I11" s="712">
        <v>2.3784000000000001</v>
      </c>
      <c r="J11" s="462"/>
      <c r="K11" s="480"/>
      <c r="L11" s="508"/>
      <c r="M11" s="522"/>
      <c r="N11" s="498"/>
      <c r="O11" s="531"/>
      <c r="P11" s="508"/>
      <c r="Q11" s="508"/>
      <c r="R11" s="508"/>
      <c r="S11" s="462"/>
      <c r="T11" s="462"/>
      <c r="U11" s="462"/>
      <c r="V11" s="462"/>
      <c r="W11" s="495"/>
      <c r="X11" s="1"/>
      <c r="Z11" s="1"/>
    </row>
    <row r="12" spans="2:26" ht="12.75" customHeight="1">
      <c r="B12" s="1"/>
      <c r="D12" s="1"/>
      <c r="E12" s="478"/>
      <c r="F12" s="502" t="s">
        <v>149</v>
      </c>
      <c r="G12" s="707">
        <v>3</v>
      </c>
      <c r="H12" s="709"/>
      <c r="I12" s="712">
        <v>2.3296999999999999</v>
      </c>
      <c r="J12" s="462"/>
      <c r="K12" s="480"/>
      <c r="L12" s="508"/>
      <c r="M12" s="522"/>
      <c r="N12" s="498"/>
      <c r="O12" s="531"/>
      <c r="P12" s="508"/>
      <c r="Q12" s="508"/>
      <c r="R12" s="508"/>
      <c r="S12" s="462"/>
      <c r="T12" s="462"/>
      <c r="U12" s="462"/>
      <c r="V12" s="462"/>
      <c r="W12" s="495"/>
      <c r="X12" s="1"/>
      <c r="Z12" s="1"/>
    </row>
    <row r="13" spans="2:26">
      <c r="B13" s="1"/>
      <c r="D13" s="1"/>
      <c r="E13" s="478"/>
      <c r="F13" s="502" t="s">
        <v>150</v>
      </c>
      <c r="G13" s="707">
        <v>4</v>
      </c>
      <c r="H13" s="709"/>
      <c r="I13" s="712">
        <v>2.1783000000000001</v>
      </c>
      <c r="J13" s="462"/>
      <c r="K13" s="480"/>
      <c r="L13" s="508"/>
      <c r="M13" s="522"/>
      <c r="N13" s="498"/>
      <c r="O13" s="531"/>
      <c r="P13" s="508"/>
      <c r="Q13" s="508"/>
      <c r="R13" s="508"/>
      <c r="S13" s="462"/>
      <c r="T13" s="462"/>
      <c r="U13" s="462"/>
      <c r="V13" s="462"/>
      <c r="W13" s="495"/>
      <c r="X13" s="1"/>
      <c r="Z13" s="1"/>
    </row>
    <row r="14" spans="2:26">
      <c r="B14" s="1"/>
      <c r="D14" s="1"/>
      <c r="E14" s="478"/>
      <c r="F14" s="502" t="s">
        <v>151</v>
      </c>
      <c r="G14" s="707">
        <v>5</v>
      </c>
      <c r="H14" s="709"/>
      <c r="I14" s="712">
        <v>1.9730000000000001</v>
      </c>
      <c r="J14" s="462"/>
      <c r="K14" s="480"/>
      <c r="L14" s="508"/>
      <c r="M14" s="522"/>
      <c r="N14" s="498"/>
      <c r="O14" s="531"/>
      <c r="P14" s="508"/>
      <c r="Q14" s="508"/>
      <c r="R14" s="508"/>
      <c r="S14" s="462"/>
      <c r="T14" s="462"/>
      <c r="U14" s="462"/>
      <c r="V14" s="462"/>
      <c r="W14" s="526"/>
      <c r="X14" s="462"/>
      <c r="Z14" s="1"/>
    </row>
    <row r="15" spans="2:26">
      <c r="B15" s="1"/>
      <c r="D15" s="1"/>
      <c r="E15" s="478"/>
      <c r="F15" s="502" t="s">
        <v>152</v>
      </c>
      <c r="G15" s="707">
        <v>6</v>
      </c>
      <c r="H15" s="709"/>
      <c r="I15" s="712">
        <v>1.9341999999999999</v>
      </c>
      <c r="J15" s="462"/>
      <c r="K15" s="480"/>
      <c r="L15" s="480"/>
      <c r="M15" s="523"/>
      <c r="N15" s="479"/>
      <c r="O15" s="532"/>
      <c r="P15" s="486"/>
      <c r="Q15" s="486"/>
      <c r="R15" s="486"/>
      <c r="S15" s="462"/>
      <c r="T15" s="462"/>
      <c r="U15" s="462"/>
      <c r="V15" s="462"/>
      <c r="W15" s="495"/>
      <c r="X15" s="1"/>
      <c r="Z15" s="1"/>
    </row>
    <row r="16" spans="2:26" ht="15.75" customHeight="1">
      <c r="B16" s="1"/>
      <c r="D16" s="1"/>
      <c r="E16" s="478"/>
      <c r="F16" s="502" t="s">
        <v>153</v>
      </c>
      <c r="G16" s="706">
        <v>7</v>
      </c>
      <c r="H16" s="708"/>
      <c r="I16" s="711">
        <v>1.8726</v>
      </c>
      <c r="J16" s="462"/>
      <c r="K16" s="479"/>
      <c r="L16" s="479"/>
      <c r="M16" s="523"/>
      <c r="N16" s="479"/>
      <c r="O16" s="532"/>
      <c r="P16" s="486"/>
      <c r="Q16" s="486"/>
      <c r="R16" s="486"/>
      <c r="S16" s="462"/>
      <c r="T16" s="462"/>
      <c r="U16" s="511" t="s">
        <v>170</v>
      </c>
      <c r="V16" s="462"/>
      <c r="W16" s="495"/>
      <c r="X16" s="1"/>
      <c r="Z16" s="1"/>
    </row>
    <row r="17" spans="2:26">
      <c r="B17" s="1"/>
      <c r="D17" s="1"/>
      <c r="E17" s="478"/>
      <c r="F17" s="517" t="s">
        <v>155</v>
      </c>
      <c r="G17" s="518" t="s">
        <v>154</v>
      </c>
      <c r="H17" s="518"/>
      <c r="I17" s="462"/>
      <c r="J17" s="462"/>
      <c r="K17" s="462"/>
      <c r="L17" s="462"/>
      <c r="M17" s="523"/>
      <c r="N17" s="491"/>
      <c r="O17" s="490"/>
      <c r="P17" s="491"/>
      <c r="Q17" s="491"/>
      <c r="R17" s="491"/>
      <c r="S17" s="462"/>
      <c r="T17" s="462"/>
      <c r="U17" s="528" t="str">
        <f>CONCATENATE("P2=(",G16,";   ",I16,")")</f>
        <v>P2=(7;   1,8726)</v>
      </c>
      <c r="V17" s="462"/>
      <c r="W17" s="533"/>
      <c r="X17" s="1"/>
      <c r="Z17" s="1"/>
    </row>
    <row r="18" spans="2:26" ht="12.75" customHeight="1">
      <c r="B18" s="1"/>
      <c r="D18" s="1"/>
      <c r="E18" s="524"/>
      <c r="F18" s="510"/>
      <c r="G18" s="510"/>
      <c r="H18" s="510"/>
      <c r="I18" s="510"/>
      <c r="J18" s="510"/>
      <c r="K18" s="510"/>
      <c r="L18" s="510"/>
      <c r="M18" s="454"/>
      <c r="N18" s="491"/>
      <c r="O18" s="490"/>
      <c r="P18" s="491"/>
      <c r="Q18" s="491"/>
      <c r="R18" s="491"/>
      <c r="S18" s="462"/>
      <c r="T18" s="462"/>
      <c r="U18" s="462"/>
      <c r="V18" s="462"/>
      <c r="W18" s="495"/>
      <c r="X18" s="1"/>
      <c r="Z18" s="1"/>
    </row>
    <row r="19" spans="2:26" ht="12.75" customHeight="1">
      <c r="B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91"/>
      <c r="O19" s="490"/>
      <c r="P19" s="491"/>
      <c r="Q19" s="491"/>
      <c r="R19" s="491"/>
      <c r="S19" s="462"/>
      <c r="T19" s="462"/>
      <c r="U19" s="462"/>
      <c r="V19" s="462"/>
      <c r="W19" s="495"/>
      <c r="X19" s="1"/>
      <c r="Z19" s="1"/>
    </row>
    <row r="20" spans="2:26" ht="16.5" customHeight="1">
      <c r="B20" s="1"/>
      <c r="D20" s="1"/>
      <c r="E20" s="462"/>
      <c r="F20" s="499" t="s">
        <v>165</v>
      </c>
      <c r="G20" s="499"/>
      <c r="H20" s="499"/>
      <c r="I20" s="499"/>
      <c r="J20" s="499"/>
      <c r="K20" s="499"/>
      <c r="L20" s="499"/>
      <c r="M20" s="499"/>
      <c r="N20" s="462"/>
      <c r="O20" s="490"/>
      <c r="P20" s="491"/>
      <c r="Q20" s="491"/>
      <c r="R20" s="491"/>
      <c r="S20" s="462"/>
      <c r="T20" s="462"/>
      <c r="U20" s="462"/>
      <c r="V20" s="462"/>
      <c r="W20" s="495"/>
      <c r="X20" s="1"/>
      <c r="Z20" s="1"/>
    </row>
    <row r="21" spans="2:26" ht="14.25" customHeight="1">
      <c r="B21" s="1"/>
      <c r="D21" s="1"/>
      <c r="E21" s="462"/>
      <c r="F21" s="503"/>
      <c r="G21" s="503"/>
      <c r="H21" s="503"/>
      <c r="I21" s="503"/>
      <c r="J21" s="503"/>
      <c r="K21" s="503"/>
      <c r="L21" s="503"/>
      <c r="M21" s="503"/>
      <c r="N21" s="462"/>
      <c r="O21" s="490"/>
      <c r="P21" s="491"/>
      <c r="Q21" s="491"/>
      <c r="R21" s="491"/>
      <c r="S21" s="462"/>
      <c r="T21" s="462"/>
      <c r="U21" s="462"/>
      <c r="V21" s="462"/>
      <c r="W21" s="495"/>
      <c r="X21" s="1"/>
      <c r="Z21" s="1"/>
    </row>
    <row r="22" spans="2:26" ht="14.25" customHeight="1" thickBot="1">
      <c r="B22" s="1"/>
      <c r="D22" s="1"/>
      <c r="E22" s="462"/>
      <c r="F22" s="527" t="s">
        <v>167</v>
      </c>
      <c r="G22" s="527"/>
      <c r="H22" s="485" t="s">
        <v>8</v>
      </c>
      <c r="I22" s="500" t="str">
        <f>CONCATENATE(I16," -",I9)</f>
        <v>1,8726 -2,337</v>
      </c>
      <c r="J22" s="485" t="s">
        <v>8</v>
      </c>
      <c r="K22" s="500">
        <f>I16-I9</f>
        <v>-0.46440000000000015</v>
      </c>
      <c r="L22" s="485" t="s">
        <v>8</v>
      </c>
      <c r="M22" s="504">
        <f>K22/K23</f>
        <v>-6.6342857142857162E-2</v>
      </c>
      <c r="N22" s="462"/>
      <c r="O22" s="492"/>
      <c r="P22" s="493"/>
      <c r="Q22" s="493"/>
      <c r="R22" s="493"/>
      <c r="S22" s="509"/>
      <c r="T22" s="509"/>
      <c r="U22" s="509"/>
      <c r="V22" s="509"/>
      <c r="W22" s="505"/>
      <c r="X22" s="1"/>
      <c r="Z22" s="1"/>
    </row>
    <row r="23" spans="2:26" ht="18" customHeight="1">
      <c r="B23" s="1"/>
      <c r="D23" s="1"/>
      <c r="E23" s="462"/>
      <c r="F23" s="516" t="s">
        <v>168</v>
      </c>
      <c r="G23" s="516"/>
      <c r="H23" s="485"/>
      <c r="I23" s="501" t="str">
        <f>CONCATENATE(G16," - ",G9)</f>
        <v>7 - 0</v>
      </c>
      <c r="J23" s="485"/>
      <c r="K23" s="482">
        <f>G16-G9</f>
        <v>7</v>
      </c>
      <c r="L23" s="485"/>
      <c r="M23" s="504"/>
      <c r="N23" s="462"/>
      <c r="O23" s="491"/>
      <c r="P23" s="491"/>
      <c r="Q23" s="491"/>
      <c r="R23" s="491"/>
      <c r="S23" s="462"/>
      <c r="T23" s="462"/>
      <c r="U23" s="1"/>
      <c r="V23" s="1"/>
      <c r="W23" s="1"/>
      <c r="X23" s="1"/>
      <c r="Z23" s="1"/>
    </row>
    <row r="24" spans="2:26" ht="13.8" thickBot="1">
      <c r="B24" s="1"/>
      <c r="D24" s="1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91"/>
      <c r="P24" s="491"/>
      <c r="Q24" s="491"/>
      <c r="R24" s="491"/>
      <c r="S24" s="462"/>
      <c r="T24" s="462"/>
      <c r="U24" s="1"/>
      <c r="V24" s="1"/>
      <c r="W24" s="1"/>
      <c r="X24" s="1"/>
      <c r="Z24" s="1"/>
    </row>
    <row r="25" spans="2:26" ht="24.75" customHeight="1" thickBot="1">
      <c r="B25" s="1"/>
      <c r="D25" s="1"/>
      <c r="E25" s="462"/>
      <c r="F25" s="462"/>
      <c r="G25" s="783" t="s">
        <v>222</v>
      </c>
      <c r="H25" s="784"/>
      <c r="I25" s="784"/>
      <c r="J25" s="784"/>
      <c r="K25" s="784"/>
      <c r="L25" s="785"/>
      <c r="M25" s="462"/>
      <c r="N25" s="462"/>
      <c r="O25" s="491"/>
      <c r="P25" s="491"/>
      <c r="Q25" s="491"/>
      <c r="R25" s="491"/>
      <c r="S25" s="462"/>
      <c r="T25" s="462"/>
      <c r="U25" s="1"/>
      <c r="V25" s="1"/>
      <c r="W25" s="1"/>
      <c r="X25" s="1"/>
      <c r="Z25" s="1"/>
    </row>
    <row r="26" spans="2:26" ht="16.5" customHeight="1">
      <c r="B26" s="1"/>
      <c r="D26" s="1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91"/>
      <c r="P26" s="491"/>
      <c r="Q26" s="491"/>
      <c r="R26" s="491"/>
      <c r="S26" s="462"/>
      <c r="T26" s="462"/>
      <c r="U26" s="1"/>
      <c r="V26" s="1"/>
      <c r="W26" s="1"/>
      <c r="X26" s="1"/>
      <c r="Z26" s="1"/>
    </row>
    <row r="27" spans="2:26" ht="15" customHeight="1">
      <c r="B27" s="487"/>
      <c r="D27" s="497"/>
      <c r="E27" s="497"/>
      <c r="F27" s="462"/>
      <c r="G27" s="496"/>
      <c r="H27" s="496"/>
      <c r="I27" s="496"/>
      <c r="J27" s="496"/>
      <c r="K27" s="496"/>
      <c r="L27" s="496"/>
      <c r="M27" s="462"/>
      <c r="N27" s="462"/>
      <c r="O27" s="462"/>
      <c r="P27" s="462"/>
      <c r="Q27" s="1"/>
      <c r="R27" s="1"/>
      <c r="S27" s="478"/>
      <c r="T27" s="462"/>
      <c r="U27" s="1"/>
      <c r="V27" s="1"/>
      <c r="W27" s="1"/>
      <c r="X27" s="1"/>
      <c r="Z27" s="1"/>
    </row>
    <row r="28" spans="2:26">
      <c r="B28" s="487"/>
      <c r="D28" s="497"/>
      <c r="E28" s="497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1"/>
      <c r="Q28" s="1"/>
      <c r="R28" s="1"/>
      <c r="S28" s="478"/>
      <c r="T28" s="462"/>
      <c r="U28" s="1"/>
      <c r="V28" s="1"/>
      <c r="W28" s="1"/>
      <c r="X28" s="1"/>
      <c r="Z28" s="1"/>
    </row>
    <row r="29" spans="2:26">
      <c r="B29" s="48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62"/>
      <c r="O29" s="462"/>
      <c r="P29" s="1"/>
      <c r="Q29" s="1"/>
      <c r="R29" s="1"/>
      <c r="S29" s="478"/>
      <c r="T29" s="462"/>
      <c r="U29" s="1"/>
      <c r="V29" s="1"/>
      <c r="W29" s="1"/>
      <c r="X29" s="1"/>
      <c r="Z29" s="1"/>
    </row>
    <row r="30" spans="2:26">
      <c r="B30" s="48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62"/>
      <c r="O30" s="462"/>
      <c r="P30" s="1"/>
      <c r="Q30" s="1"/>
      <c r="R30" s="1"/>
      <c r="S30" s="478"/>
      <c r="T30" s="462"/>
      <c r="U30" s="1"/>
      <c r="V30" s="1"/>
      <c r="W30" s="1"/>
      <c r="X30" s="1"/>
      <c r="Z30" s="1"/>
    </row>
    <row r="31" spans="2:26" ht="18.75" customHeight="1">
      <c r="B31" s="48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62"/>
      <c r="O31" s="462"/>
      <c r="P31" s="1"/>
      <c r="Q31" s="1"/>
      <c r="R31" s="1"/>
      <c r="S31" s="478"/>
      <c r="T31" s="462"/>
      <c r="U31" s="1"/>
      <c r="V31" s="1"/>
      <c r="W31" s="1"/>
      <c r="X31" s="1"/>
      <c r="Z31" s="1"/>
    </row>
    <row r="32" spans="2:26"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Z32" s="1"/>
    </row>
    <row r="34" spans="19:20">
      <c r="S34" s="488" t="s">
        <v>1</v>
      </c>
      <c r="T34" s="488" t="s">
        <v>2</v>
      </c>
    </row>
    <row r="35" spans="19:20">
      <c r="S35" s="488">
        <f>G9</f>
        <v>0</v>
      </c>
      <c r="T35" s="488">
        <f>I9</f>
        <v>2.3370000000000002</v>
      </c>
    </row>
    <row r="36" spans="19:20">
      <c r="S36" s="488">
        <f>G16</f>
        <v>7</v>
      </c>
      <c r="T36" s="488">
        <f>I16</f>
        <v>1.8726</v>
      </c>
    </row>
  </sheetData>
  <mergeCells count="3">
    <mergeCell ref="I7:I8"/>
    <mergeCell ref="G7:H8"/>
    <mergeCell ref="G25:L2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31"/>
  <sheetViews>
    <sheetView topLeftCell="A4" workbookViewId="0">
      <selection activeCell="Z22" sqref="Z22"/>
    </sheetView>
  </sheetViews>
  <sheetFormatPr defaultColWidth="9.109375" defaultRowHeight="13.2"/>
  <cols>
    <col min="1" max="1" width="2.5546875" style="404" customWidth="1"/>
    <col min="2" max="2" width="1.6640625" style="404" customWidth="1"/>
    <col min="3" max="4" width="3.44140625" style="404" customWidth="1"/>
    <col min="5" max="5" width="2.6640625" style="404" customWidth="1"/>
    <col min="6" max="6" width="9.109375" style="404" customWidth="1"/>
    <col min="7" max="7" width="11.44140625" style="404" customWidth="1"/>
    <col min="8" max="8" width="15.6640625" style="404" customWidth="1"/>
    <col min="9" max="9" width="5.5546875" style="404" customWidth="1"/>
    <col min="10" max="10" width="5.44140625" style="404" customWidth="1"/>
    <col min="11" max="11" width="7.88671875" style="404" customWidth="1"/>
    <col min="12" max="12" width="6.6640625" style="404" customWidth="1"/>
    <col min="13" max="13" width="4.33203125" style="404" customWidth="1"/>
    <col min="14" max="14" width="2.6640625" style="404" customWidth="1"/>
    <col min="15" max="15" width="5.109375" style="404" customWidth="1"/>
    <col min="16" max="25" width="5.33203125" style="404" customWidth="1"/>
    <col min="26" max="26" width="48.109375" style="404" customWidth="1"/>
    <col min="27" max="28" width="2.33203125" style="404" customWidth="1"/>
    <col min="29" max="16384" width="9.109375" style="404"/>
  </cols>
  <sheetData>
    <row r="2" spans="2:28" ht="7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1"/>
      <c r="AB3" s="1"/>
    </row>
    <row r="4" spans="2:28" ht="16.5" customHeight="1">
      <c r="B4" s="1"/>
      <c r="D4" s="462"/>
      <c r="E4" s="462"/>
      <c r="F4" s="462"/>
      <c r="G4" s="462"/>
      <c r="H4" s="462"/>
      <c r="I4" s="462"/>
      <c r="J4" s="462"/>
      <c r="K4" s="462"/>
      <c r="L4" s="508"/>
      <c r="M4" s="508"/>
      <c r="N4" s="508"/>
      <c r="O4" s="508"/>
      <c r="P4" s="508"/>
      <c r="Q4" s="508"/>
      <c r="R4" s="508"/>
      <c r="S4" s="508"/>
      <c r="T4" s="462"/>
      <c r="U4" s="462"/>
      <c r="V4" s="462"/>
      <c r="W4" s="462"/>
      <c r="X4" s="462"/>
      <c r="Y4" s="462"/>
      <c r="Z4" s="462"/>
      <c r="AB4" s="1"/>
    </row>
    <row r="5" spans="2:28" ht="30.75" customHeight="1">
      <c r="B5" s="1"/>
      <c r="D5" s="462"/>
      <c r="E5" s="462"/>
      <c r="F5" s="790" t="s">
        <v>221</v>
      </c>
      <c r="G5" s="790"/>
      <c r="H5" s="790"/>
      <c r="I5" s="790"/>
      <c r="J5" s="790"/>
      <c r="K5" s="790"/>
      <c r="L5" s="508"/>
      <c r="M5" s="726"/>
      <c r="N5" s="508"/>
      <c r="O5" s="508"/>
      <c r="P5" s="508"/>
      <c r="Q5" s="508"/>
      <c r="R5" s="508"/>
      <c r="S5" s="508"/>
      <c r="T5" s="462"/>
      <c r="U5" s="462"/>
      <c r="V5" s="462"/>
      <c r="W5" s="462"/>
      <c r="X5" s="462"/>
      <c r="Y5" s="462"/>
      <c r="Z5" s="462"/>
      <c r="AB5" s="1"/>
    </row>
    <row r="6" spans="2:28" ht="15" customHeight="1" thickBot="1">
      <c r="B6" s="1"/>
      <c r="D6" s="462"/>
      <c r="E6" s="462"/>
      <c r="F6" s="791" t="s">
        <v>225</v>
      </c>
      <c r="G6" s="792"/>
      <c r="H6" s="792"/>
      <c r="I6" s="793"/>
      <c r="J6" s="793"/>
      <c r="K6" s="793"/>
      <c r="L6" s="793"/>
      <c r="M6" s="794"/>
      <c r="N6" s="508"/>
      <c r="O6" s="508"/>
      <c r="P6" s="508"/>
      <c r="Q6" s="508"/>
      <c r="R6" s="508"/>
      <c r="S6" s="508"/>
      <c r="T6" s="462"/>
      <c r="U6" s="462"/>
      <c r="V6" s="462"/>
      <c r="W6" s="462"/>
      <c r="X6" s="462"/>
      <c r="Y6" s="462"/>
      <c r="Z6" s="462"/>
      <c r="AB6" s="1"/>
    </row>
    <row r="7" spans="2:28" ht="47.25" customHeight="1" thickBot="1">
      <c r="B7" s="1"/>
      <c r="D7" s="462"/>
      <c r="E7" s="462"/>
      <c r="F7" s="725" t="s">
        <v>145</v>
      </c>
      <c r="G7" s="721" t="s">
        <v>166</v>
      </c>
      <c r="H7" s="722" t="s">
        <v>226</v>
      </c>
      <c r="I7" s="723" t="s">
        <v>223</v>
      </c>
      <c r="J7" s="786" t="s">
        <v>227</v>
      </c>
      <c r="K7" s="662" t="s">
        <v>228</v>
      </c>
      <c r="L7" s="506"/>
      <c r="M7" s="530"/>
      <c r="N7" s="462"/>
      <c r="O7" s="788"/>
      <c r="P7" s="789"/>
      <c r="Q7" s="789"/>
      <c r="R7" s="508"/>
      <c r="S7" s="508"/>
      <c r="T7" s="462"/>
      <c r="U7" s="462"/>
      <c r="V7" s="462"/>
      <c r="W7" s="462"/>
      <c r="X7" s="462"/>
      <c r="Y7" s="462"/>
      <c r="Z7" s="462"/>
      <c r="AB7" s="1"/>
    </row>
    <row r="8" spans="2:28" ht="15.75" customHeight="1">
      <c r="B8" s="1"/>
      <c r="D8" s="462"/>
      <c r="E8" s="462"/>
      <c r="F8" s="719" t="s">
        <v>146</v>
      </c>
      <c r="G8" s="720">
        <v>0</v>
      </c>
      <c r="H8" s="713">
        <v>3.6518999999999999</v>
      </c>
      <c r="I8" s="727" t="s">
        <v>224</v>
      </c>
      <c r="J8" s="787"/>
      <c r="K8" s="724" t="s">
        <v>207</v>
      </c>
      <c r="L8" s="510"/>
      <c r="M8" s="728"/>
      <c r="N8" s="656"/>
      <c r="O8" s="788"/>
      <c r="P8" s="789"/>
      <c r="Q8" s="789"/>
      <c r="R8" s="508"/>
      <c r="S8" s="508"/>
      <c r="T8" s="462"/>
      <c r="U8" s="462"/>
      <c r="V8" s="462"/>
      <c r="W8" s="462"/>
      <c r="X8" s="462"/>
      <c r="Y8" s="462"/>
      <c r="Z8" s="462"/>
      <c r="AB8" s="1"/>
    </row>
    <row r="9" spans="2:28" ht="12" customHeight="1">
      <c r="B9" s="1"/>
      <c r="D9" s="462"/>
      <c r="E9" s="462"/>
      <c r="F9" s="502" t="s">
        <v>147</v>
      </c>
      <c r="G9" s="707">
        <v>1</v>
      </c>
      <c r="H9" s="714">
        <v>3.7284999999999999</v>
      </c>
      <c r="I9" s="735" t="str">
        <f t="shared" ref="I9:I15" si="0">CONCATENATE("(",H9,"-",H8,")/(",G9,"-",G8,")=",ROUND((H9-H8)/(G9-G8),3))</f>
        <v>(3,7285-3,6519)/(1-0)=0,077</v>
      </c>
      <c r="J9" s="511"/>
      <c r="K9" s="732"/>
      <c r="L9" s="525"/>
      <c r="M9" s="638"/>
      <c r="N9" s="736">
        <f t="shared" ref="N9:N15" si="1">(H9-H8)/(G9-G8)</f>
        <v>7.6600000000000001E-2</v>
      </c>
      <c r="O9" s="508"/>
      <c r="P9" s="508"/>
      <c r="Q9" s="508"/>
      <c r="R9" s="508"/>
      <c r="S9" s="508"/>
      <c r="T9" s="462"/>
      <c r="U9" s="462"/>
      <c r="V9" s="462"/>
      <c r="W9" s="511"/>
      <c r="X9" s="462"/>
      <c r="Y9" s="710"/>
      <c r="Z9" s="710"/>
      <c r="AB9" s="1"/>
    </row>
    <row r="10" spans="2:28" ht="12.75" customHeight="1">
      <c r="B10" s="1"/>
      <c r="D10" s="462"/>
      <c r="E10" s="462"/>
      <c r="F10" s="502" t="s">
        <v>148</v>
      </c>
      <c r="G10" s="707">
        <v>2</v>
      </c>
      <c r="H10" s="714">
        <v>3.7284999999999999</v>
      </c>
      <c r="I10" s="735" t="str">
        <f t="shared" si="0"/>
        <v>(3,7285-3,7285)/(2-1)=0</v>
      </c>
      <c r="J10" s="462"/>
      <c r="K10" s="480"/>
      <c r="L10" s="508"/>
      <c r="M10" s="638"/>
      <c r="N10" s="736">
        <f t="shared" si="1"/>
        <v>0</v>
      </c>
      <c r="O10" s="508"/>
      <c r="P10" s="479"/>
      <c r="Q10" s="486"/>
      <c r="R10" s="486"/>
      <c r="S10" s="486"/>
      <c r="T10" s="462"/>
      <c r="U10" s="462"/>
      <c r="V10" s="462"/>
      <c r="W10" s="718"/>
      <c r="X10" s="553"/>
      <c r="Y10" s="553"/>
      <c r="Z10" s="553"/>
      <c r="AB10" s="1"/>
    </row>
    <row r="11" spans="2:28" ht="12.75" customHeight="1">
      <c r="B11" s="1"/>
      <c r="D11" s="462"/>
      <c r="E11" s="462"/>
      <c r="F11" s="502" t="s">
        <v>149</v>
      </c>
      <c r="G11" s="707">
        <v>3</v>
      </c>
      <c r="H11" s="714">
        <v>3.8967000000000001</v>
      </c>
      <c r="I11" s="735" t="str">
        <f t="shared" si="0"/>
        <v>(3,8967-3,7285)/(3-2)=0,168</v>
      </c>
      <c r="J11" s="462"/>
      <c r="K11" s="480"/>
      <c r="L11" s="508"/>
      <c r="M11" s="638"/>
      <c r="N11" s="736">
        <f t="shared" si="1"/>
        <v>0.16820000000000013</v>
      </c>
      <c r="O11" s="508"/>
      <c r="P11" s="479"/>
      <c r="Q11" s="525"/>
      <c r="R11" s="462"/>
      <c r="S11" s="525"/>
      <c r="T11" s="462"/>
      <c r="U11" s="462"/>
      <c r="V11" s="462"/>
      <c r="W11" s="462"/>
      <c r="X11" s="462"/>
      <c r="Y11" s="462"/>
      <c r="Z11" s="1"/>
      <c r="AB11" s="1"/>
    </row>
    <row r="12" spans="2:28" ht="14.25" customHeight="1">
      <c r="B12" s="1"/>
      <c r="D12" s="462"/>
      <c r="E12" s="462"/>
      <c r="F12" s="502" t="s">
        <v>150</v>
      </c>
      <c r="G12" s="707">
        <v>4</v>
      </c>
      <c r="H12" s="714">
        <v>3.9453</v>
      </c>
      <c r="I12" s="735" t="str">
        <f t="shared" si="0"/>
        <v>(3,9453-3,8967)/(4-3)=0,049</v>
      </c>
      <c r="J12" s="462"/>
      <c r="K12" s="480"/>
      <c r="L12" s="508"/>
      <c r="M12" s="638"/>
      <c r="N12" s="736">
        <f t="shared" si="1"/>
        <v>4.8599999999999977E-2</v>
      </c>
      <c r="O12" s="508"/>
      <c r="P12" s="491"/>
      <c r="Q12" s="486"/>
      <c r="R12" s="717"/>
      <c r="S12" s="716"/>
      <c r="T12" s="462"/>
      <c r="U12" s="462"/>
      <c r="V12" s="462"/>
      <c r="W12" s="462"/>
      <c r="X12" s="462"/>
      <c r="Y12" s="462"/>
      <c r="Z12" s="462"/>
      <c r="AB12" s="1"/>
    </row>
    <row r="13" spans="2:28" ht="15.6">
      <c r="B13" s="1"/>
      <c r="D13" s="462"/>
      <c r="E13" s="462"/>
      <c r="F13" s="502" t="s">
        <v>151</v>
      </c>
      <c r="G13" s="707">
        <v>5</v>
      </c>
      <c r="H13" s="714">
        <v>3.972</v>
      </c>
      <c r="I13" s="735" t="str">
        <f t="shared" si="0"/>
        <v>(3,972-3,9453)/(5-4)=0,027</v>
      </c>
      <c r="J13" s="462"/>
      <c r="K13" s="480"/>
      <c r="L13" s="508"/>
      <c r="M13" s="638"/>
      <c r="N13" s="736">
        <f t="shared" si="1"/>
        <v>2.6699999999999946E-2</v>
      </c>
      <c r="O13" s="508"/>
      <c r="P13" s="491"/>
      <c r="Q13" s="462"/>
      <c r="R13" s="462"/>
      <c r="S13" s="491"/>
      <c r="T13" s="462"/>
      <c r="U13" s="462"/>
      <c r="V13" s="462"/>
      <c r="W13" s="462"/>
      <c r="X13" s="462"/>
      <c r="Y13" s="462"/>
      <c r="Z13" s="462"/>
      <c r="AB13" s="1"/>
    </row>
    <row r="14" spans="2:28" ht="15">
      <c r="B14" s="1"/>
      <c r="D14" s="462"/>
      <c r="E14" s="462"/>
      <c r="F14" s="502" t="s">
        <v>152</v>
      </c>
      <c r="G14" s="707">
        <v>6</v>
      </c>
      <c r="H14" s="714">
        <v>3.8193000000000001</v>
      </c>
      <c r="I14" s="654" t="str">
        <f t="shared" si="0"/>
        <v>(3,8193-3,972)/(6-5)=-0,153</v>
      </c>
      <c r="J14" s="462"/>
      <c r="K14" s="480"/>
      <c r="L14" s="480"/>
      <c r="M14" s="729"/>
      <c r="N14" s="736">
        <f t="shared" si="1"/>
        <v>-0.15269999999999984</v>
      </c>
      <c r="O14" s="479"/>
      <c r="P14" s="491"/>
      <c r="Q14" s="491"/>
      <c r="R14" s="491"/>
      <c r="S14" s="491"/>
      <c r="T14" s="462"/>
      <c r="U14" s="462"/>
      <c r="V14" s="462"/>
      <c r="W14" s="462"/>
      <c r="X14" s="462"/>
      <c r="Y14" s="462"/>
      <c r="Z14" s="462"/>
      <c r="AB14" s="1"/>
    </row>
    <row r="15" spans="2:28" ht="15.75" customHeight="1" thickBot="1">
      <c r="B15" s="1"/>
      <c r="D15" s="462"/>
      <c r="E15" s="462"/>
      <c r="F15" s="502" t="s">
        <v>153</v>
      </c>
      <c r="G15" s="706">
        <v>7</v>
      </c>
      <c r="H15" s="715">
        <v>3.7648999999999999</v>
      </c>
      <c r="I15" s="733" t="str">
        <f t="shared" si="0"/>
        <v>(3,7649-3,8193)/(7-6)=-0,054</v>
      </c>
      <c r="J15" s="509"/>
      <c r="K15" s="730"/>
      <c r="L15" s="730"/>
      <c r="M15" s="731"/>
      <c r="N15" s="736">
        <f t="shared" si="1"/>
        <v>-5.4400000000000226E-2</v>
      </c>
      <c r="O15" s="479"/>
      <c r="P15" s="491"/>
      <c r="Q15" s="491"/>
      <c r="R15" s="491"/>
      <c r="S15" s="491"/>
      <c r="T15" s="462"/>
      <c r="U15" s="462"/>
      <c r="V15" s="462"/>
      <c r="W15" s="462"/>
      <c r="X15" s="462"/>
      <c r="Y15" s="462"/>
      <c r="Z15" s="462"/>
      <c r="AB15" s="1"/>
    </row>
    <row r="16" spans="2:28" ht="11.25" customHeight="1">
      <c r="B16" s="1"/>
      <c r="D16" s="462"/>
      <c r="E16" s="462"/>
      <c r="F16" s="517" t="s">
        <v>155</v>
      </c>
      <c r="G16" s="518" t="s">
        <v>154</v>
      </c>
      <c r="H16" s="462"/>
      <c r="I16" s="462"/>
      <c r="J16" s="462"/>
      <c r="K16" s="462"/>
      <c r="L16" s="462"/>
      <c r="M16" s="480"/>
      <c r="N16" s="480"/>
      <c r="O16" s="491"/>
      <c r="P16" s="491"/>
      <c r="Q16" s="491"/>
      <c r="R16" s="491"/>
      <c r="S16" s="491"/>
      <c r="T16" s="462"/>
      <c r="U16" s="462"/>
      <c r="V16" s="462"/>
      <c r="W16" s="462"/>
      <c r="X16" s="462"/>
      <c r="Y16" s="462"/>
      <c r="Z16" s="462"/>
      <c r="AB16" s="1"/>
    </row>
    <row r="17" spans="2:28" ht="19.5" customHeight="1">
      <c r="B17" s="1"/>
      <c r="D17" s="462"/>
      <c r="E17" s="462"/>
      <c r="F17" s="795"/>
      <c r="G17" s="795"/>
      <c r="H17" s="795"/>
      <c r="I17" s="795"/>
      <c r="J17" s="795"/>
      <c r="K17" s="795"/>
      <c r="L17" s="795"/>
      <c r="M17" s="795"/>
      <c r="N17" s="462"/>
      <c r="O17" s="491"/>
      <c r="P17" s="491"/>
      <c r="Q17" s="491"/>
      <c r="R17" s="491"/>
      <c r="S17" s="491"/>
      <c r="T17" s="462"/>
      <c r="U17" s="462"/>
      <c r="V17" s="462"/>
      <c r="W17" s="462"/>
      <c r="X17" s="462"/>
      <c r="Y17" s="462"/>
      <c r="Z17" s="462"/>
      <c r="AB17" s="1"/>
    </row>
    <row r="18" spans="2:28" ht="11.25" customHeight="1">
      <c r="B18" s="1"/>
      <c r="D18" s="462"/>
      <c r="E18" s="462"/>
      <c r="F18" s="738" t="s">
        <v>145</v>
      </c>
      <c r="G18" s="739" t="s">
        <v>229</v>
      </c>
      <c r="H18" s="737"/>
      <c r="I18" s="503"/>
      <c r="J18" s="503"/>
      <c r="K18" s="503"/>
      <c r="L18" s="462"/>
      <c r="M18" s="462"/>
      <c r="N18" s="462"/>
      <c r="O18" s="491"/>
      <c r="P18" s="491"/>
      <c r="Q18" s="491"/>
      <c r="R18" s="491"/>
      <c r="S18" s="491"/>
      <c r="T18" s="462"/>
      <c r="U18" s="462"/>
      <c r="V18" s="462"/>
      <c r="W18" s="462"/>
      <c r="X18" s="462"/>
      <c r="Y18" s="462"/>
      <c r="Z18" s="462"/>
      <c r="AB18" s="1"/>
    </row>
    <row r="19" spans="2:28" ht="16.5" customHeight="1">
      <c r="B19" s="1"/>
      <c r="D19" s="1"/>
      <c r="E19" s="462"/>
      <c r="F19" s="462">
        <f t="shared" ref="F19:F25" si="2">G9</f>
        <v>1</v>
      </c>
      <c r="G19" s="734">
        <f>N9</f>
        <v>7.6600000000000001E-2</v>
      </c>
      <c r="H19" s="1"/>
      <c r="I19" s="1"/>
      <c r="J19" s="1"/>
      <c r="K19" s="1"/>
      <c r="L19" s="499"/>
      <c r="M19" s="499"/>
      <c r="N19" s="499"/>
      <c r="O19" s="462"/>
      <c r="P19" s="491"/>
      <c r="Q19" s="491"/>
      <c r="R19" s="491"/>
      <c r="S19" s="491"/>
      <c r="T19" s="462"/>
      <c r="U19" s="462"/>
      <c r="V19" s="462"/>
      <c r="W19" s="462"/>
      <c r="X19" s="462"/>
      <c r="Y19" s="462"/>
      <c r="Z19" s="462"/>
      <c r="AB19" s="1"/>
    </row>
    <row r="20" spans="2:28" ht="14.25" customHeight="1">
      <c r="B20" s="1"/>
      <c r="D20" s="1"/>
      <c r="E20" s="462"/>
      <c r="F20" s="462">
        <f t="shared" si="2"/>
        <v>2</v>
      </c>
      <c r="G20" s="734">
        <f t="shared" ref="G20:G24" si="3">N10</f>
        <v>0</v>
      </c>
      <c r="H20" s="503"/>
      <c r="I20" s="503"/>
      <c r="J20" s="503"/>
      <c r="K20" s="503"/>
      <c r="L20" s="503"/>
      <c r="M20" s="503"/>
      <c r="N20" s="503"/>
      <c r="O20" s="462"/>
      <c r="P20" s="491"/>
      <c r="Q20" s="491"/>
      <c r="R20" s="491"/>
      <c r="S20" s="491"/>
      <c r="T20" s="462"/>
      <c r="U20" s="462"/>
      <c r="V20" s="462"/>
      <c r="W20" s="462"/>
      <c r="X20" s="462"/>
      <c r="Y20" s="462"/>
      <c r="Z20" s="462"/>
      <c r="AB20" s="1"/>
    </row>
    <row r="21" spans="2:28" ht="14.25" customHeight="1">
      <c r="B21" s="1"/>
      <c r="D21" s="1"/>
      <c r="E21" s="462"/>
      <c r="F21" s="462">
        <f t="shared" si="2"/>
        <v>3</v>
      </c>
      <c r="G21" s="734">
        <f t="shared" si="3"/>
        <v>0.16820000000000013</v>
      </c>
      <c r="H21" s="480"/>
      <c r="I21" s="485"/>
      <c r="J21" s="485"/>
      <c r="K21" s="480"/>
      <c r="L21" s="485"/>
      <c r="M21" s="504"/>
      <c r="N21" s="504"/>
      <c r="O21" s="462"/>
      <c r="P21" s="491"/>
      <c r="Q21" s="491"/>
      <c r="R21" s="491"/>
      <c r="S21" s="491"/>
      <c r="T21" s="491"/>
      <c r="U21" s="462"/>
      <c r="V21" s="1"/>
      <c r="W21" s="1"/>
      <c r="X21" s="1"/>
      <c r="Y21" s="1"/>
      <c r="Z21" s="1"/>
      <c r="AB21" s="1"/>
    </row>
    <row r="22" spans="2:28" ht="18" customHeight="1">
      <c r="B22" s="1"/>
      <c r="D22" s="1"/>
      <c r="E22" s="462"/>
      <c r="F22" s="462">
        <f t="shared" si="2"/>
        <v>4</v>
      </c>
      <c r="G22" s="734">
        <f t="shared" si="3"/>
        <v>4.8599999999999977E-2</v>
      </c>
      <c r="H22" s="501"/>
      <c r="I22" s="485"/>
      <c r="J22" s="485"/>
      <c r="K22" s="482"/>
      <c r="L22" s="485"/>
      <c r="M22" s="504"/>
      <c r="N22" s="504"/>
      <c r="O22" s="462"/>
      <c r="P22" s="462"/>
      <c r="Q22" s="462"/>
      <c r="R22" s="1"/>
      <c r="S22" s="1"/>
      <c r="T22" s="1"/>
      <c r="U22" s="462"/>
      <c r="V22" s="1"/>
      <c r="W22" s="1"/>
      <c r="X22" s="1"/>
      <c r="Y22" s="1"/>
      <c r="Z22" s="1"/>
      <c r="AB22" s="1"/>
    </row>
    <row r="23" spans="2:28">
      <c r="B23" s="1"/>
      <c r="D23" s="1"/>
      <c r="E23" s="462"/>
      <c r="F23" s="462">
        <f t="shared" si="2"/>
        <v>5</v>
      </c>
      <c r="G23" s="734">
        <f>N13</f>
        <v>2.6699999999999946E-2</v>
      </c>
      <c r="H23" s="462"/>
      <c r="I23" s="462"/>
      <c r="J23" s="462"/>
      <c r="K23" s="462"/>
      <c r="L23" s="462"/>
      <c r="M23" s="462"/>
      <c r="N23" s="462"/>
      <c r="O23" s="462"/>
      <c r="P23" s="462"/>
      <c r="Q23" s="1"/>
      <c r="R23" s="1"/>
      <c r="S23" s="1"/>
      <c r="T23" s="1"/>
      <c r="U23" s="462"/>
      <c r="V23" s="1"/>
      <c r="W23" s="1"/>
      <c r="X23" s="1"/>
      <c r="Y23" s="1"/>
      <c r="Z23" s="1"/>
      <c r="AB23" s="1"/>
    </row>
    <row r="24" spans="2:28" ht="16.5" customHeight="1">
      <c r="B24" s="1"/>
      <c r="D24" s="1"/>
      <c r="E24" s="462"/>
      <c r="F24" s="462">
        <f t="shared" si="2"/>
        <v>6</v>
      </c>
      <c r="G24" s="462">
        <f t="shared" si="3"/>
        <v>-0.15269999999999984</v>
      </c>
      <c r="H24" s="462"/>
      <c r="I24" s="496"/>
      <c r="J24" s="496"/>
      <c r="K24" s="496"/>
      <c r="L24" s="496"/>
      <c r="M24" s="462"/>
      <c r="N24" s="462"/>
      <c r="O24" s="462"/>
      <c r="P24" s="462"/>
      <c r="Q24" s="1"/>
      <c r="R24" s="1"/>
      <c r="S24" s="1"/>
      <c r="T24" s="1"/>
      <c r="U24" s="462"/>
      <c r="V24" s="1"/>
      <c r="W24" s="1"/>
      <c r="X24" s="1"/>
      <c r="Y24" s="1"/>
      <c r="Z24" s="1"/>
      <c r="AB24" s="1"/>
    </row>
    <row r="25" spans="2:28" ht="16.5" customHeight="1">
      <c r="B25" s="1"/>
      <c r="D25" s="1"/>
      <c r="E25" s="462"/>
      <c r="F25" s="510">
        <f t="shared" si="2"/>
        <v>7</v>
      </c>
      <c r="G25" s="510">
        <f t="shared" ref="G25" si="4">N15</f>
        <v>-5.4400000000000226E-2</v>
      </c>
      <c r="H25" s="510"/>
      <c r="I25" s="462"/>
      <c r="J25" s="462"/>
      <c r="K25" s="462"/>
      <c r="L25" s="462"/>
      <c r="M25" s="462"/>
      <c r="N25" s="462"/>
      <c r="O25" s="462"/>
      <c r="P25" s="462"/>
      <c r="Q25" s="1"/>
      <c r="R25" s="1"/>
      <c r="S25" s="1"/>
      <c r="T25" s="1"/>
      <c r="U25" s="462"/>
      <c r="V25" s="1"/>
      <c r="W25" s="1"/>
      <c r="X25" s="1"/>
      <c r="Y25" s="1"/>
      <c r="Z25" s="1"/>
      <c r="AB25" s="1"/>
    </row>
    <row r="26" spans="2:28" ht="15" customHeight="1">
      <c r="B26" s="487"/>
      <c r="D26" s="497"/>
      <c r="E26" s="497"/>
      <c r="F26" s="462"/>
      <c r="G26" s="496"/>
      <c r="H26" s="462"/>
      <c r="I26" s="496"/>
      <c r="J26" s="496"/>
      <c r="K26" s="496"/>
      <c r="L26" s="496"/>
      <c r="M26" s="462"/>
      <c r="N26" s="462"/>
      <c r="O26" s="462"/>
      <c r="P26" s="462"/>
      <c r="Q26" s="1"/>
      <c r="R26" s="1"/>
      <c r="S26" s="1"/>
      <c r="T26" s="1"/>
      <c r="U26" s="462"/>
      <c r="V26" s="1"/>
      <c r="W26" s="1"/>
      <c r="X26" s="1"/>
      <c r="Y26" s="1"/>
      <c r="Z26" s="1"/>
      <c r="AB26" s="1"/>
    </row>
    <row r="27" spans="2:28">
      <c r="B27" s="487"/>
      <c r="D27" s="497"/>
      <c r="E27" s="497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B27" s="1"/>
    </row>
    <row r="28" spans="2:28">
      <c r="B28" s="48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62"/>
      <c r="P28" s="497"/>
      <c r="Q28" s="462"/>
      <c r="R28" s="497"/>
      <c r="S28" s="462"/>
      <c r="T28" s="497"/>
      <c r="U28" s="462"/>
      <c r="V28" s="497"/>
      <c r="W28" s="462"/>
      <c r="X28" s="497"/>
      <c r="Y28" s="1"/>
      <c r="Z28" s="1"/>
      <c r="AB28" s="1"/>
    </row>
    <row r="29" spans="2:28">
      <c r="B29" s="48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62"/>
      <c r="P29" s="497"/>
      <c r="Q29" s="462"/>
      <c r="R29" s="497"/>
      <c r="S29" s="462"/>
      <c r="T29" s="497"/>
      <c r="U29" s="462"/>
      <c r="V29" s="497"/>
      <c r="W29" s="462"/>
      <c r="X29" s="497"/>
      <c r="Y29" s="1"/>
      <c r="Z29" s="1"/>
      <c r="AB29" s="1"/>
    </row>
    <row r="30" spans="2:28" ht="18.75" customHeight="1">
      <c r="B30" s="48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62"/>
      <c r="P30" s="497"/>
      <c r="Q30" s="462"/>
      <c r="R30" s="497"/>
      <c r="S30" s="462"/>
      <c r="T30" s="497"/>
      <c r="U30" s="462"/>
      <c r="V30" s="497"/>
      <c r="W30" s="462"/>
      <c r="X30" s="497"/>
      <c r="Y30" s="1"/>
      <c r="Z30" s="1"/>
      <c r="AB30" s="1"/>
    </row>
    <row r="31" spans="2:28">
      <c r="B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B31" s="1"/>
    </row>
  </sheetData>
  <mergeCells count="6">
    <mergeCell ref="F17:M17"/>
    <mergeCell ref="J7:J8"/>
    <mergeCell ref="O7:O8"/>
    <mergeCell ref="P7:Q8"/>
    <mergeCell ref="F5:K5"/>
    <mergeCell ref="F6:M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Q29"/>
  <sheetViews>
    <sheetView workbookViewId="0">
      <selection activeCell="S9" sqref="S9"/>
    </sheetView>
  </sheetViews>
  <sheetFormatPr defaultColWidth="9.109375" defaultRowHeight="13.2"/>
  <cols>
    <col min="1" max="1" width="2.5546875" style="404" customWidth="1"/>
    <col min="2" max="2" width="1.88671875" style="404" customWidth="1"/>
    <col min="3" max="3" width="2.88671875" style="404" customWidth="1"/>
    <col min="4" max="4" width="5.109375" style="404" customWidth="1"/>
    <col min="5" max="5" width="7.44140625" style="404" customWidth="1"/>
    <col min="6" max="6" width="14.109375" style="404" customWidth="1"/>
    <col min="7" max="7" width="18.88671875" style="404" customWidth="1"/>
    <col min="8" max="8" width="20.44140625" style="404" customWidth="1"/>
    <col min="9" max="9" width="5.33203125" style="404" customWidth="1"/>
    <col min="10" max="14" width="9.109375" style="404"/>
    <col min="15" max="15" width="28.44140625" style="404" customWidth="1"/>
    <col min="16" max="16" width="2.33203125" style="404" customWidth="1"/>
    <col min="17" max="17" width="1.88671875" style="404" customWidth="1"/>
    <col min="18" max="16384" width="9.109375" style="404"/>
  </cols>
  <sheetData>
    <row r="2" spans="2:17" ht="9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1"/>
      <c r="Q3" s="1"/>
    </row>
    <row r="4" spans="2:17" ht="8.25" customHeight="1">
      <c r="B4" s="1"/>
      <c r="D4" s="1"/>
      <c r="E4" s="462"/>
      <c r="F4" s="1"/>
      <c r="G4" s="1"/>
      <c r="H4" s="1"/>
      <c r="I4" s="1"/>
      <c r="J4" s="478"/>
      <c r="K4" s="1"/>
      <c r="L4" s="1"/>
      <c r="M4" s="1"/>
      <c r="N4" s="1"/>
      <c r="O4" s="1"/>
      <c r="Q4" s="1"/>
    </row>
    <row r="5" spans="2:17" ht="26.25" customHeight="1" thickBot="1">
      <c r="B5" s="1"/>
      <c r="D5" s="1"/>
      <c r="E5" s="796" t="s">
        <v>159</v>
      </c>
      <c r="F5" s="796"/>
      <c r="G5" s="796"/>
      <c r="H5" s="796"/>
      <c r="I5" s="796"/>
      <c r="J5" s="478"/>
      <c r="K5" s="1"/>
      <c r="L5" s="1"/>
      <c r="M5" s="1"/>
      <c r="N5" s="1"/>
      <c r="O5" s="1"/>
      <c r="Q5" s="1"/>
    </row>
    <row r="6" spans="2:17" ht="33.75" customHeight="1" thickBot="1">
      <c r="B6" s="1"/>
      <c r="C6" s="464"/>
      <c r="D6" s="1"/>
      <c r="E6" s="465" t="s">
        <v>145</v>
      </c>
      <c r="F6" s="466" t="s">
        <v>156</v>
      </c>
      <c r="G6" s="475" t="s">
        <v>157</v>
      </c>
      <c r="H6" s="472" t="s">
        <v>158</v>
      </c>
      <c r="I6" s="462"/>
      <c r="J6" s="478"/>
      <c r="K6" s="462"/>
      <c r="L6" s="1"/>
      <c r="M6" s="1"/>
      <c r="N6" s="1"/>
      <c r="O6" s="1"/>
      <c r="Q6" s="1"/>
    </row>
    <row r="7" spans="2:17">
      <c r="B7" s="1"/>
      <c r="D7" s="1"/>
      <c r="E7" s="467" t="s">
        <v>146</v>
      </c>
      <c r="F7" s="468">
        <v>0</v>
      </c>
      <c r="G7" s="476">
        <v>2.3370000000000002</v>
      </c>
      <c r="H7" s="473">
        <v>3.6518999999999999</v>
      </c>
      <c r="I7" s="1"/>
      <c r="J7" s="478"/>
      <c r="K7" s="462"/>
      <c r="L7" s="1"/>
      <c r="M7" s="1"/>
      <c r="N7" s="1"/>
      <c r="O7" s="1"/>
      <c r="Q7" s="1"/>
    </row>
    <row r="8" spans="2:17">
      <c r="B8" s="1"/>
      <c r="D8" s="1"/>
      <c r="E8" s="469" t="s">
        <v>147</v>
      </c>
      <c r="F8" s="470">
        <v>1</v>
      </c>
      <c r="G8" s="477">
        <v>2.3161999999999998</v>
      </c>
      <c r="H8" s="474">
        <v>3.7284999999999999</v>
      </c>
      <c r="I8" s="1"/>
      <c r="J8" s="478"/>
      <c r="K8" s="462"/>
      <c r="L8" s="1"/>
      <c r="M8" s="1"/>
      <c r="N8" s="1"/>
      <c r="O8" s="1"/>
      <c r="Q8" s="1"/>
    </row>
    <row r="9" spans="2:17">
      <c r="B9" s="1"/>
      <c r="D9" s="1"/>
      <c r="E9" s="469" t="s">
        <v>148</v>
      </c>
      <c r="F9" s="470">
        <v>2</v>
      </c>
      <c r="G9" s="477">
        <v>2.3784000000000001</v>
      </c>
      <c r="H9" s="474">
        <v>3.7284999999999999</v>
      </c>
      <c r="I9" s="1"/>
      <c r="J9" s="478"/>
      <c r="K9" s="462"/>
      <c r="L9" s="1"/>
      <c r="M9" s="1"/>
      <c r="N9" s="1"/>
      <c r="O9" s="1"/>
      <c r="Q9" s="1"/>
    </row>
    <row r="10" spans="2:17">
      <c r="B10" s="1"/>
      <c r="D10" s="1"/>
      <c r="E10" s="469" t="s">
        <v>149</v>
      </c>
      <c r="F10" s="470">
        <v>3</v>
      </c>
      <c r="G10" s="477">
        <v>2.3296999999999999</v>
      </c>
      <c r="H10" s="474">
        <v>3.8967000000000001</v>
      </c>
      <c r="I10" s="1"/>
      <c r="J10" s="478"/>
      <c r="K10" s="462"/>
      <c r="L10" s="1"/>
      <c r="M10" s="1"/>
      <c r="N10" s="1"/>
      <c r="O10" s="1"/>
      <c r="Q10" s="1"/>
    </row>
    <row r="11" spans="2:17">
      <c r="B11" s="1"/>
      <c r="D11" s="1"/>
      <c r="E11" s="469" t="s">
        <v>150</v>
      </c>
      <c r="F11" s="470">
        <v>4</v>
      </c>
      <c r="G11" s="477">
        <v>2.1783000000000001</v>
      </c>
      <c r="H11" s="474">
        <v>3.9453</v>
      </c>
      <c r="I11" s="1"/>
      <c r="J11" s="478"/>
      <c r="K11" s="462"/>
      <c r="L11" s="1"/>
      <c r="M11" s="1"/>
      <c r="N11" s="1"/>
      <c r="O11" s="1"/>
      <c r="Q11" s="1"/>
    </row>
    <row r="12" spans="2:17">
      <c r="B12" s="1"/>
      <c r="D12" s="1"/>
      <c r="E12" s="469" t="s">
        <v>151</v>
      </c>
      <c r="F12" s="470">
        <v>5</v>
      </c>
      <c r="G12" s="477">
        <v>1.9730000000000001</v>
      </c>
      <c r="H12" s="474">
        <v>3.972</v>
      </c>
      <c r="I12" s="1"/>
      <c r="J12" s="478"/>
      <c r="K12" s="462"/>
      <c r="L12" s="1"/>
      <c r="M12" s="1"/>
      <c r="N12" s="1"/>
      <c r="O12" s="1"/>
      <c r="Q12" s="1"/>
    </row>
    <row r="13" spans="2:17">
      <c r="B13" s="1"/>
      <c r="D13" s="1"/>
      <c r="E13" s="469" t="s">
        <v>152</v>
      </c>
      <c r="F13" s="470">
        <v>6</v>
      </c>
      <c r="G13" s="477">
        <v>1.9341999999999999</v>
      </c>
      <c r="H13" s="474">
        <v>3.8193000000000001</v>
      </c>
      <c r="I13" s="1"/>
      <c r="J13" s="478"/>
      <c r="K13" s="462"/>
      <c r="L13" s="1"/>
      <c r="M13" s="1"/>
      <c r="N13" s="1"/>
      <c r="O13" s="1"/>
      <c r="Q13" s="1"/>
    </row>
    <row r="14" spans="2:17">
      <c r="B14" s="1"/>
      <c r="D14" s="1"/>
      <c r="E14" s="469" t="s">
        <v>153</v>
      </c>
      <c r="F14" s="470">
        <v>7</v>
      </c>
      <c r="G14" s="477">
        <v>1.8726</v>
      </c>
      <c r="H14" s="474">
        <v>3.7648999999999999</v>
      </c>
      <c r="I14" s="1"/>
      <c r="J14" s="478"/>
      <c r="K14" s="462"/>
      <c r="L14" s="1"/>
      <c r="M14" s="1"/>
      <c r="N14" s="1"/>
      <c r="O14" s="1"/>
      <c r="Q14" s="1"/>
    </row>
    <row r="15" spans="2:17">
      <c r="B15" s="1"/>
      <c r="D15" s="1"/>
      <c r="E15" s="448" t="s">
        <v>155</v>
      </c>
      <c r="F15" s="471" t="s">
        <v>154</v>
      </c>
      <c r="G15" s="1"/>
      <c r="H15" s="1"/>
      <c r="I15" s="1"/>
      <c r="J15" s="478"/>
      <c r="K15" s="462"/>
      <c r="L15" s="1"/>
      <c r="M15" s="1"/>
      <c r="N15" s="1"/>
      <c r="O15" s="1"/>
      <c r="Q15" s="1"/>
    </row>
    <row r="16" spans="2:17">
      <c r="B16" s="1"/>
      <c r="D16" s="1"/>
      <c r="E16" s="1"/>
      <c r="F16" s="1"/>
      <c r="G16" s="1"/>
      <c r="H16" s="1"/>
      <c r="I16" s="1"/>
      <c r="J16" s="478"/>
      <c r="K16" s="462"/>
      <c r="L16" s="1"/>
      <c r="M16" s="1"/>
      <c r="N16" s="1"/>
      <c r="O16" s="1"/>
      <c r="Q16" s="1"/>
    </row>
    <row r="17" spans="2:17">
      <c r="B17" s="1"/>
      <c r="D17" s="1"/>
      <c r="E17" s="1"/>
      <c r="F17" s="1"/>
      <c r="G17" s="1"/>
      <c r="H17" s="1"/>
      <c r="I17" s="1"/>
      <c r="J17" s="478"/>
      <c r="K17" s="462"/>
      <c r="L17" s="1"/>
      <c r="M17" s="1"/>
      <c r="N17" s="1"/>
      <c r="O17" s="1"/>
      <c r="Q17" s="1"/>
    </row>
    <row r="18" spans="2:17">
      <c r="B18" s="1"/>
      <c r="D18" s="1"/>
      <c r="E18" s="1"/>
      <c r="F18" s="1"/>
      <c r="G18" s="1"/>
      <c r="H18" s="1"/>
      <c r="I18" s="1"/>
      <c r="J18" s="478"/>
      <c r="K18" s="462"/>
      <c r="L18" s="1"/>
      <c r="M18" s="1"/>
      <c r="N18" s="1"/>
      <c r="O18" s="1"/>
      <c r="Q18" s="1"/>
    </row>
    <row r="19" spans="2:17">
      <c r="B19" s="1"/>
      <c r="D19" s="1"/>
      <c r="E19" s="1"/>
      <c r="F19" s="1"/>
      <c r="G19" s="1"/>
      <c r="H19" s="1"/>
      <c r="I19" s="1"/>
      <c r="J19" s="478"/>
      <c r="K19" s="462"/>
      <c r="L19" s="1"/>
      <c r="M19" s="1"/>
      <c r="N19" s="1"/>
      <c r="O19" s="1"/>
      <c r="Q19" s="1"/>
    </row>
    <row r="20" spans="2:17">
      <c r="B20" s="1"/>
      <c r="D20" s="1"/>
      <c r="E20" s="1"/>
      <c r="F20" s="1"/>
      <c r="G20" s="1"/>
      <c r="H20" s="1"/>
      <c r="I20" s="1"/>
      <c r="J20" s="478"/>
      <c r="K20" s="462"/>
      <c r="L20" s="1"/>
      <c r="M20" s="1"/>
      <c r="N20" s="1"/>
      <c r="O20" s="1"/>
      <c r="Q20" s="1"/>
    </row>
    <row r="21" spans="2:17">
      <c r="B21" s="1"/>
      <c r="D21" s="1"/>
      <c r="E21" s="1"/>
      <c r="F21" s="1"/>
      <c r="G21" s="1"/>
      <c r="H21" s="1"/>
      <c r="I21" s="1"/>
      <c r="J21" s="478"/>
      <c r="K21" s="462"/>
      <c r="L21" s="1"/>
      <c r="M21" s="1"/>
      <c r="N21" s="1"/>
      <c r="O21" s="1"/>
      <c r="Q21" s="1"/>
    </row>
    <row r="22" spans="2:17">
      <c r="B22" s="1"/>
      <c r="D22" s="1"/>
      <c r="E22" s="1"/>
      <c r="F22" s="1"/>
      <c r="G22" s="1"/>
      <c r="H22" s="1"/>
      <c r="I22" s="1"/>
      <c r="J22" s="478"/>
      <c r="K22" s="462"/>
      <c r="L22" s="1"/>
      <c r="M22" s="1"/>
      <c r="N22" s="1"/>
      <c r="O22" s="1"/>
      <c r="Q22" s="1"/>
    </row>
    <row r="23" spans="2:17">
      <c r="B23" s="1"/>
      <c r="D23" s="1"/>
      <c r="E23" s="1"/>
      <c r="F23" s="1"/>
      <c r="G23" s="1"/>
      <c r="H23" s="1"/>
      <c r="I23" s="1"/>
      <c r="J23" s="478"/>
      <c r="K23" s="462"/>
      <c r="L23" s="1"/>
      <c r="M23" s="1"/>
      <c r="N23" s="1"/>
      <c r="O23" s="1"/>
      <c r="Q23" s="1"/>
    </row>
    <row r="24" spans="2:17">
      <c r="B24" s="1"/>
      <c r="D24" s="1"/>
      <c r="E24" s="1"/>
      <c r="F24" s="1"/>
      <c r="G24" s="1"/>
      <c r="H24" s="1"/>
      <c r="I24" s="1"/>
      <c r="J24" s="478"/>
      <c r="K24" s="462"/>
      <c r="L24" s="1"/>
      <c r="M24" s="1"/>
      <c r="N24" s="1"/>
      <c r="O24" s="1"/>
      <c r="Q24" s="1"/>
    </row>
    <row r="25" spans="2:17">
      <c r="B25" s="1"/>
      <c r="D25" s="1"/>
      <c r="E25" s="1"/>
      <c r="F25" s="1"/>
      <c r="G25" s="1"/>
      <c r="H25" s="1"/>
      <c r="I25" s="1"/>
      <c r="J25" s="478"/>
      <c r="K25" s="462"/>
      <c r="L25" s="1"/>
      <c r="M25" s="1"/>
      <c r="N25" s="1"/>
      <c r="O25" s="1"/>
      <c r="Q25" s="1"/>
    </row>
    <row r="26" spans="2:17">
      <c r="B26" s="1"/>
      <c r="D26" s="1"/>
      <c r="E26" s="1"/>
      <c r="F26" s="1"/>
      <c r="G26" s="1"/>
      <c r="H26" s="1"/>
      <c r="I26" s="1"/>
      <c r="J26" s="478"/>
      <c r="K26" s="462"/>
      <c r="L26" s="1"/>
      <c r="M26" s="1"/>
      <c r="N26" s="1"/>
      <c r="O26" s="1"/>
      <c r="Q26" s="1"/>
    </row>
    <row r="27" spans="2:17">
      <c r="B27" s="1"/>
      <c r="D27" s="1"/>
      <c r="E27" s="1"/>
      <c r="F27" s="1"/>
      <c r="G27" s="1"/>
      <c r="H27" s="1"/>
      <c r="I27" s="1"/>
      <c r="J27" s="478"/>
      <c r="K27" s="462"/>
      <c r="L27" s="1"/>
      <c r="M27" s="1"/>
      <c r="N27" s="1"/>
      <c r="O27" s="1"/>
      <c r="Q27" s="1"/>
    </row>
    <row r="28" spans="2:17" ht="18.75" customHeight="1">
      <c r="B28" s="1"/>
      <c r="D28" s="1"/>
      <c r="E28" s="1"/>
      <c r="F28" s="1"/>
      <c r="G28" s="438" t="s">
        <v>160</v>
      </c>
      <c r="H28" s="1"/>
      <c r="I28" s="1"/>
      <c r="J28" s="478"/>
      <c r="K28" s="462"/>
      <c r="L28" s="1"/>
      <c r="M28" s="1"/>
      <c r="N28" s="1"/>
      <c r="O28" s="1"/>
      <c r="Q28" s="1"/>
    </row>
    <row r="29" spans="2:17">
      <c r="B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"/>
    </row>
  </sheetData>
  <mergeCells count="1">
    <mergeCell ref="E5:I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I265"/>
  <sheetViews>
    <sheetView workbookViewId="0">
      <selection activeCell="P12" sqref="P12"/>
    </sheetView>
  </sheetViews>
  <sheetFormatPr defaultColWidth="9.109375" defaultRowHeight="19.5" customHeight="1"/>
  <cols>
    <col min="1" max="1" width="1.109375" style="534" customWidth="1"/>
    <col min="2" max="2" width="1.44140625" style="535" customWidth="1"/>
    <col min="3" max="3" width="2.44140625" style="534" customWidth="1"/>
    <col min="4" max="4" width="2.5546875" style="534" customWidth="1"/>
    <col min="5" max="5" width="9.33203125" style="534" customWidth="1"/>
    <col min="6" max="6" width="12" style="534" customWidth="1"/>
    <col min="7" max="8" width="5.88671875" style="534" customWidth="1"/>
    <col min="9" max="9" width="8.109375" style="534" customWidth="1"/>
    <col min="10" max="10" width="1.88671875" style="534" customWidth="1"/>
    <col min="11" max="11" width="5.5546875" style="534" customWidth="1"/>
    <col min="12" max="12" width="1.6640625" style="534" customWidth="1"/>
    <col min="13" max="13" width="5.5546875" style="534" customWidth="1"/>
    <col min="14" max="14" width="2.44140625" style="534" customWidth="1"/>
    <col min="15" max="15" width="3.6640625" style="403" customWidth="1"/>
    <col min="16" max="16" width="4.109375" style="403" customWidth="1"/>
    <col min="17" max="17" width="4" style="403" customWidth="1"/>
    <col min="18" max="18" width="4.88671875" style="403" customWidth="1"/>
    <col min="19" max="23" width="9.109375" style="534"/>
    <col min="24" max="24" width="5" style="534" customWidth="1"/>
    <col min="25" max="25" width="26.5546875" style="534" customWidth="1"/>
    <col min="26" max="26" width="2" style="534" customWidth="1"/>
    <col min="27" max="27" width="1.44140625" style="1" customWidth="1"/>
    <col min="28" max="33" width="9.109375" style="406"/>
    <col min="34" max="16384" width="9.109375" style="534"/>
  </cols>
  <sheetData>
    <row r="1" spans="1:61" ht="9" customHeight="1">
      <c r="B1" s="534"/>
      <c r="N1" s="402" t="s">
        <v>186</v>
      </c>
      <c r="AA1" s="534"/>
    </row>
    <row r="2" spans="1:61" s="1" customFormat="1" ht="9" customHeight="1">
      <c r="A2" s="534"/>
      <c r="B2" s="535"/>
      <c r="O2" s="462"/>
      <c r="P2" s="462"/>
      <c r="Q2" s="462"/>
      <c r="R2" s="462"/>
      <c r="AB2" s="406"/>
      <c r="AC2" s="406"/>
      <c r="AD2" s="406"/>
      <c r="AE2" s="406"/>
      <c r="AF2" s="406"/>
      <c r="AG2" s="406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</row>
    <row r="3" spans="1:61" ht="8.25" customHeight="1"/>
    <row r="4" spans="1:61" s="537" customFormat="1" ht="16.5" customHeight="1">
      <c r="B4" s="538"/>
      <c r="D4" s="498"/>
      <c r="E4" s="536" t="str">
        <f>CONCATENATE("Determine os valores de x e y para a função ",F10,G10,H10,I10)</f>
        <v>Determine os valores de x e y para a função  y= f(x) = -3x + 125</v>
      </c>
      <c r="F4" s="498"/>
      <c r="G4" s="498"/>
      <c r="H4" s="498"/>
      <c r="I4" s="498"/>
      <c r="J4" s="498"/>
      <c r="K4" s="498"/>
      <c r="L4" s="498"/>
      <c r="M4" s="498"/>
      <c r="N4" s="498"/>
      <c r="O4" s="508"/>
      <c r="P4" s="508"/>
      <c r="Q4" s="508"/>
      <c r="R4" s="508"/>
      <c r="S4" s="498"/>
      <c r="T4" s="498"/>
      <c r="U4" s="498"/>
      <c r="V4" s="498"/>
      <c r="W4" s="498"/>
      <c r="X4" s="498"/>
      <c r="Y4" s="498"/>
      <c r="AA4" s="498"/>
      <c r="AB4" s="543"/>
      <c r="AC4" s="543"/>
      <c r="AD4" s="543"/>
      <c r="AE4" s="543"/>
      <c r="AF4" s="543"/>
      <c r="AG4" s="543"/>
    </row>
    <row r="5" spans="1:61" s="537" customFormat="1" ht="16.5" customHeight="1">
      <c r="B5" s="538"/>
      <c r="D5" s="498"/>
      <c r="E5" s="536" t="s">
        <v>188</v>
      </c>
      <c r="F5" s="498"/>
      <c r="G5" s="498"/>
      <c r="H5" s="498"/>
      <c r="I5" s="498"/>
      <c r="J5" s="498"/>
      <c r="K5" s="498"/>
      <c r="L5" s="498"/>
      <c r="M5" s="498"/>
      <c r="N5" s="498"/>
      <c r="O5" s="508"/>
      <c r="P5" s="508"/>
      <c r="Q5" s="508"/>
      <c r="R5" s="508"/>
      <c r="S5" s="498"/>
      <c r="T5" s="498"/>
      <c r="U5" s="498"/>
      <c r="V5" s="498"/>
      <c r="W5" s="498"/>
      <c r="X5" s="498"/>
      <c r="Y5" s="498"/>
      <c r="AA5" s="498"/>
      <c r="AB5" s="543"/>
      <c r="AC5" s="543"/>
      <c r="AD5" s="543"/>
      <c r="AE5" s="543"/>
      <c r="AF5" s="543"/>
      <c r="AG5" s="543"/>
    </row>
    <row r="6" spans="1:61" s="537" customFormat="1" ht="15" customHeight="1">
      <c r="B6" s="538"/>
      <c r="D6" s="498"/>
      <c r="E6" s="536" t="s">
        <v>173</v>
      </c>
      <c r="F6" s="498"/>
      <c r="G6" s="498"/>
      <c r="H6" s="498"/>
      <c r="I6" s="498"/>
      <c r="J6" s="498"/>
      <c r="K6" s="498"/>
      <c r="L6" s="498"/>
      <c r="M6" s="498"/>
      <c r="N6" s="498"/>
      <c r="O6" s="508"/>
      <c r="P6" s="508"/>
      <c r="Q6" s="508"/>
      <c r="R6" s="508"/>
      <c r="S6" s="498"/>
      <c r="T6" s="498"/>
      <c r="U6" s="498"/>
      <c r="V6" s="498"/>
      <c r="W6" s="498"/>
      <c r="X6" s="498"/>
      <c r="Y6" s="498"/>
      <c r="AA6" s="498"/>
      <c r="AB6" s="543"/>
      <c r="AC6" s="543"/>
      <c r="AD6" s="543"/>
      <c r="AE6" s="543"/>
      <c r="AF6" s="543"/>
      <c r="AG6" s="539" t="str">
        <f>IF(I10&gt;0," + ",IF(I10&lt;0,"  ",""))</f>
        <v xml:space="preserve"> + </v>
      </c>
    </row>
    <row r="7" spans="1:61" s="537" customFormat="1" ht="16.5" customHeight="1">
      <c r="B7" s="538"/>
      <c r="D7" s="498"/>
      <c r="E7" s="536" t="s">
        <v>174</v>
      </c>
      <c r="F7" s="498"/>
      <c r="G7" s="498"/>
      <c r="H7" s="498"/>
      <c r="I7" s="498"/>
      <c r="J7" s="498"/>
      <c r="K7" s="498"/>
      <c r="L7" s="498"/>
      <c r="M7" s="498"/>
      <c r="N7" s="498"/>
      <c r="O7" s="508"/>
      <c r="P7" s="508"/>
      <c r="Q7" s="508"/>
      <c r="R7" s="508"/>
      <c r="S7" s="498"/>
      <c r="T7" s="498"/>
      <c r="U7" s="498"/>
      <c r="V7" s="498"/>
      <c r="W7" s="498"/>
      <c r="X7" s="498"/>
      <c r="Y7" s="498"/>
      <c r="AA7" s="498"/>
      <c r="AB7" s="543"/>
      <c r="AC7" s="543"/>
      <c r="AD7" s="543"/>
      <c r="AE7" s="543"/>
      <c r="AF7" s="543"/>
      <c r="AG7" s="543"/>
    </row>
    <row r="8" spans="1:61" s="537" customFormat="1" ht="16.5" customHeight="1">
      <c r="B8" s="538"/>
      <c r="D8" s="498"/>
      <c r="E8" s="536" t="s">
        <v>175</v>
      </c>
      <c r="F8" s="498"/>
      <c r="G8" s="498"/>
      <c r="H8" s="498"/>
      <c r="I8" s="498"/>
      <c r="J8" s="498"/>
      <c r="K8" s="498"/>
      <c r="L8" s="498"/>
      <c r="M8" s="498"/>
      <c r="N8" s="498"/>
      <c r="O8" s="508"/>
      <c r="P8" s="508"/>
      <c r="Q8" s="508"/>
      <c r="R8" s="508"/>
      <c r="S8" s="498"/>
      <c r="T8" s="498"/>
      <c r="U8" s="498"/>
      <c r="V8" s="498"/>
      <c r="W8" s="498"/>
      <c r="X8" s="498"/>
      <c r="Y8" s="498"/>
      <c r="AA8" s="498"/>
      <c r="AB8" s="543"/>
      <c r="AC8" s="543"/>
      <c r="AD8" s="543"/>
      <c r="AE8" s="543"/>
      <c r="AF8" s="543"/>
      <c r="AG8" s="543"/>
    </row>
    <row r="9" spans="1:61" s="537" customFormat="1" ht="15.75" customHeight="1">
      <c r="B9" s="538"/>
      <c r="D9" s="498"/>
      <c r="E9" s="536" t="s">
        <v>187</v>
      </c>
      <c r="F9" s="498"/>
      <c r="G9" s="508"/>
      <c r="H9" s="508"/>
      <c r="I9" s="546"/>
      <c r="J9" s="511"/>
      <c r="K9" s="511" t="s">
        <v>190</v>
      </c>
      <c r="L9" s="498"/>
      <c r="M9" s="498"/>
      <c r="N9" s="498"/>
      <c r="O9" s="508"/>
      <c r="P9" s="508"/>
      <c r="Q9" s="508"/>
      <c r="R9" s="508"/>
      <c r="S9" s="498"/>
      <c r="T9" s="498"/>
      <c r="U9" s="498"/>
      <c r="V9" s="498"/>
      <c r="W9" s="498"/>
      <c r="X9" s="498"/>
      <c r="Y9" s="498"/>
      <c r="AA9" s="498"/>
      <c r="AB9" s="543"/>
      <c r="AC9" s="543"/>
      <c r="AD9" s="543"/>
      <c r="AE9" s="543"/>
      <c r="AF9" s="543"/>
      <c r="AG9" s="543"/>
    </row>
    <row r="10" spans="1:61" s="537" customFormat="1" ht="15.75" customHeight="1" thickBot="1">
      <c r="B10" s="538"/>
      <c r="D10" s="498"/>
      <c r="E10" s="498"/>
      <c r="F10" s="550" t="s">
        <v>189</v>
      </c>
      <c r="G10" s="619">
        <f>-ROUND(Início!I10/2,0)</f>
        <v>-3</v>
      </c>
      <c r="H10" s="567" t="s">
        <v>171</v>
      </c>
      <c r="I10" s="618">
        <f>Início!I11+LEFT(Início!E12,3)</f>
        <v>125</v>
      </c>
      <c r="J10" s="565"/>
      <c r="K10" s="508"/>
      <c r="L10" s="546" t="s">
        <v>182</v>
      </c>
      <c r="M10" s="546"/>
      <c r="N10" s="546"/>
      <c r="O10" s="525"/>
      <c r="P10" s="508"/>
      <c r="Q10" s="508"/>
      <c r="R10" s="508"/>
      <c r="S10" s="498"/>
      <c r="T10" s="498"/>
      <c r="U10" s="498"/>
      <c r="V10" s="498"/>
      <c r="W10" s="498"/>
      <c r="X10" s="498"/>
      <c r="Y10" s="498"/>
      <c r="AA10" s="498"/>
      <c r="AB10" s="543"/>
      <c r="AC10" s="543"/>
      <c r="AD10" s="543"/>
      <c r="AE10" s="543"/>
      <c r="AF10" s="543"/>
      <c r="AG10" s="543"/>
    </row>
    <row r="11" spans="1:61" s="537" customFormat="1" ht="11.25" customHeight="1">
      <c r="B11" s="538"/>
      <c r="D11" s="498"/>
      <c r="E11" s="498"/>
      <c r="F11" s="550"/>
      <c r="G11" s="550"/>
      <c r="H11" s="550"/>
      <c r="I11" s="550"/>
      <c r="J11" s="583"/>
      <c r="K11" s="584"/>
      <c r="L11" s="585"/>
      <c r="M11" s="585"/>
      <c r="N11" s="586"/>
      <c r="O11" s="525"/>
      <c r="P11" s="508"/>
      <c r="Q11" s="508"/>
      <c r="R11" s="508"/>
      <c r="S11" s="498"/>
      <c r="T11" s="498"/>
      <c r="U11" s="498"/>
      <c r="V11" s="498"/>
      <c r="W11" s="498"/>
      <c r="X11" s="498"/>
      <c r="Y11" s="498"/>
      <c r="AA11" s="498"/>
      <c r="AB11" s="543"/>
      <c r="AC11" s="543"/>
      <c r="AD11" s="543"/>
      <c r="AE11" s="543"/>
      <c r="AF11" s="543"/>
      <c r="AG11" s="543"/>
    </row>
    <row r="12" spans="1:61" ht="15.75" customHeight="1" thickBot="1">
      <c r="D12" s="1"/>
      <c r="E12" s="542" t="s">
        <v>82</v>
      </c>
      <c r="F12" s="509"/>
      <c r="G12" s="509"/>
      <c r="H12" s="834"/>
      <c r="I12" s="560"/>
      <c r="J12" s="587"/>
      <c r="K12" s="588" t="s">
        <v>184</v>
      </c>
      <c r="L12" s="281"/>
      <c r="M12" s="281"/>
      <c r="N12" s="589"/>
      <c r="O12" s="462"/>
      <c r="P12" s="462"/>
      <c r="Q12" s="462"/>
      <c r="R12" s="462"/>
      <c r="S12" s="1"/>
      <c r="T12" s="1"/>
      <c r="U12" s="1"/>
      <c r="V12" s="1"/>
      <c r="W12" s="1"/>
      <c r="X12" s="1"/>
      <c r="Y12" s="1"/>
      <c r="AC12" s="543"/>
      <c r="AD12" s="543"/>
    </row>
    <row r="13" spans="1:61" ht="15.75" customHeight="1" thickBot="1">
      <c r="D13" s="1"/>
      <c r="E13" s="564" t="s">
        <v>1</v>
      </c>
      <c r="F13" s="620" t="str">
        <f>CONCATENATE(F10,G10,H10,I10)</f>
        <v xml:space="preserve"> y= f(x) = -3x + 125</v>
      </c>
      <c r="G13" s="571"/>
      <c r="H13" s="834"/>
      <c r="I13" s="560"/>
      <c r="J13" s="593" t="str">
        <f>IF(H14="Correta!","(","")</f>
        <v>(</v>
      </c>
      <c r="K13" s="594" t="str">
        <f>IF(H14="Correta!","x","")</f>
        <v>x</v>
      </c>
      <c r="L13" s="595" t="str">
        <f>IF(ISNUMBER(K14),";","")</f>
        <v>;</v>
      </c>
      <c r="M13" s="596" t="str">
        <f>IF(ISNUMBER(K14),"y","")</f>
        <v>y</v>
      </c>
      <c r="N13" s="597" t="str">
        <f>IF(H14="Correta!",")","")</f>
        <v>)</v>
      </c>
      <c r="O13" s="462"/>
      <c r="P13" s="462"/>
      <c r="Q13" s="462"/>
      <c r="R13" s="462"/>
      <c r="S13" s="1"/>
      <c r="T13" s="1"/>
      <c r="U13" s="1"/>
      <c r="V13" s="1"/>
      <c r="W13" s="1"/>
      <c r="X13" s="1"/>
      <c r="Y13" s="1"/>
      <c r="AC13" s="598" t="str">
        <f t="shared" ref="AC13:AC22" si="0">F13</f>
        <v xml:space="preserve"> y= f(x) = -3x + 125</v>
      </c>
      <c r="AD13" s="598"/>
    </row>
    <row r="14" spans="1:61" ht="15.75" customHeight="1">
      <c r="D14" s="438" t="s">
        <v>133</v>
      </c>
      <c r="E14" s="832">
        <v>1</v>
      </c>
      <c r="F14" s="572">
        <f>IF(ISNUMBER(E14),E14*G$10+I$10,"")</f>
        <v>122</v>
      </c>
      <c r="G14" s="617" t="s">
        <v>185</v>
      </c>
      <c r="H14" s="835" t="str">
        <f>IF(ISNUMBER(F14),IF(ABS(F14-(G$10*E14+I$10))&gt;0.01,"*","Correta!"),"")</f>
        <v>Correta!</v>
      </c>
      <c r="I14" s="1"/>
      <c r="J14" s="578" t="str">
        <f t="shared" ref="J14:J22" si="1">IF(H14="Correta!","(","")</f>
        <v>(</v>
      </c>
      <c r="K14" s="555">
        <f t="shared" ref="K14:K22" si="2">IF(H14="Correta!",E14,"")</f>
        <v>1</v>
      </c>
      <c r="L14" s="462" t="str">
        <f>IF(ISNUMBER(K14),";","")</f>
        <v>;</v>
      </c>
      <c r="M14" s="554">
        <f>IF(ISNUMBER(K14),F14,"")</f>
        <v>122</v>
      </c>
      <c r="N14" s="495" t="str">
        <f>IF(J14="(",")","")</f>
        <v>)</v>
      </c>
      <c r="O14" s="462"/>
      <c r="P14" s="540"/>
      <c r="Q14" s="462"/>
      <c r="R14" s="540"/>
      <c r="S14" s="540"/>
      <c r="T14" s="1"/>
      <c r="U14" s="1"/>
      <c r="V14" s="1"/>
      <c r="W14" s="1"/>
      <c r="X14" s="1"/>
      <c r="Y14" s="1"/>
      <c r="AC14" s="598">
        <f t="shared" si="0"/>
        <v>122</v>
      </c>
      <c r="AD14" s="598"/>
    </row>
    <row r="15" spans="1:61" ht="15.75" customHeight="1">
      <c r="D15" s="1"/>
      <c r="E15" s="833">
        <f>IF(E14="",F15,E14+2)</f>
        <v>3</v>
      </c>
      <c r="F15" s="572">
        <f t="shared" ref="F15:F22" si="3">IF(ISNUMBER(E15),E15*G$10+I$10,"")</f>
        <v>116</v>
      </c>
      <c r="G15" s="573"/>
      <c r="H15" s="835" t="str">
        <f>IF(ISNUMBER(F15),IF(ABS(F15-(G$10*E15+I$10))&gt;0.01,"**","Correta!"),"")</f>
        <v>Correta!</v>
      </c>
      <c r="I15" s="1"/>
      <c r="J15" s="578" t="str">
        <f t="shared" si="1"/>
        <v>(</v>
      </c>
      <c r="K15" s="555">
        <f t="shared" si="2"/>
        <v>3</v>
      </c>
      <c r="L15" s="462" t="str">
        <f t="shared" ref="L15:L22" si="4">IF(ISNUMBER(K15),";","")</f>
        <v>;</v>
      </c>
      <c r="M15" s="554">
        <f t="shared" ref="M15:M22" si="5">IF(ISNUMBER(K15),F15,"")</f>
        <v>116</v>
      </c>
      <c r="N15" s="495" t="str">
        <f t="shared" ref="N15:N22" si="6">IF(J15="(",")","")</f>
        <v>)</v>
      </c>
      <c r="O15" s="462"/>
      <c r="P15" s="462"/>
      <c r="Q15" s="462"/>
      <c r="R15" s="462"/>
      <c r="S15" s="1"/>
      <c r="T15" s="1"/>
      <c r="U15" s="1"/>
      <c r="V15" s="1"/>
      <c r="W15" s="1"/>
      <c r="X15" s="1"/>
      <c r="Y15" s="1"/>
      <c r="AC15" s="598">
        <f t="shared" si="0"/>
        <v>116</v>
      </c>
      <c r="AD15" s="598"/>
    </row>
    <row r="16" spans="1:61" ht="15.75" customHeight="1">
      <c r="D16" s="1"/>
      <c r="E16" s="833">
        <f t="shared" ref="E16:E22" si="7">IF(E15="",F16,E15+2)</f>
        <v>5</v>
      </c>
      <c r="F16" s="572">
        <f t="shared" si="3"/>
        <v>110</v>
      </c>
      <c r="G16" s="573"/>
      <c r="H16" s="835" t="str">
        <f>IF(ISNUMBER(F16),IF(ABS(F16-(G$10*E16+I$10))&gt;0.01,"***","Correta!"),"")</f>
        <v>Correta!</v>
      </c>
      <c r="I16" s="1"/>
      <c r="J16" s="578" t="str">
        <f t="shared" si="1"/>
        <v>(</v>
      </c>
      <c r="K16" s="555">
        <f t="shared" si="2"/>
        <v>5</v>
      </c>
      <c r="L16" s="462" t="str">
        <f t="shared" si="4"/>
        <v>;</v>
      </c>
      <c r="M16" s="561">
        <f t="shared" si="5"/>
        <v>110</v>
      </c>
      <c r="N16" s="495" t="str">
        <f t="shared" si="6"/>
        <v>)</v>
      </c>
      <c r="O16" s="462"/>
      <c r="P16" s="462"/>
      <c r="Q16" s="462"/>
      <c r="R16" s="462"/>
      <c r="S16" s="1"/>
      <c r="T16" s="1"/>
      <c r="U16" s="1"/>
      <c r="V16" s="1"/>
      <c r="W16" s="1"/>
      <c r="X16" s="1"/>
      <c r="Y16" s="1"/>
      <c r="AC16" s="598">
        <f t="shared" si="0"/>
        <v>110</v>
      </c>
      <c r="AD16" s="598"/>
    </row>
    <row r="17" spans="2:30" ht="15.75" customHeight="1">
      <c r="D17" s="1"/>
      <c r="E17" s="833">
        <f t="shared" si="7"/>
        <v>7</v>
      </c>
      <c r="F17" s="572">
        <f t="shared" si="3"/>
        <v>104</v>
      </c>
      <c r="G17" s="573"/>
      <c r="H17" s="835" t="str">
        <f t="shared" ref="H17:H22" si="8">IF(ISNUMBER(F17),IF(ABS(F17-(G$10*E17+I$10))&gt;0.01,"**","Correta!"),"")</f>
        <v>Correta!</v>
      </c>
      <c r="I17" s="1"/>
      <c r="J17" s="578" t="str">
        <f t="shared" si="1"/>
        <v>(</v>
      </c>
      <c r="K17" s="555">
        <f t="shared" si="2"/>
        <v>7</v>
      </c>
      <c r="L17" s="462" t="str">
        <f t="shared" si="4"/>
        <v>;</v>
      </c>
      <c r="M17" s="556">
        <f t="shared" si="5"/>
        <v>104</v>
      </c>
      <c r="N17" s="495" t="str">
        <f t="shared" si="6"/>
        <v>)</v>
      </c>
      <c r="O17" s="462"/>
      <c r="P17" s="462"/>
      <c r="Q17" s="462"/>
      <c r="R17" s="462"/>
      <c r="S17" s="1"/>
      <c r="T17" s="1"/>
      <c r="U17" s="1"/>
      <c r="V17" s="1"/>
      <c r="W17" s="1"/>
      <c r="X17" s="1"/>
      <c r="Y17" s="1"/>
      <c r="AC17" s="598">
        <f t="shared" si="0"/>
        <v>104</v>
      </c>
      <c r="AD17" s="598"/>
    </row>
    <row r="18" spans="2:30" ht="15.75" customHeight="1">
      <c r="D18" s="1"/>
      <c r="E18" s="833">
        <f t="shared" si="7"/>
        <v>9</v>
      </c>
      <c r="F18" s="572">
        <f t="shared" si="3"/>
        <v>98</v>
      </c>
      <c r="G18" s="573"/>
      <c r="H18" s="835" t="str">
        <f t="shared" si="8"/>
        <v>Correta!</v>
      </c>
      <c r="I18" s="1"/>
      <c r="J18" s="578" t="str">
        <f t="shared" si="1"/>
        <v>(</v>
      </c>
      <c r="K18" s="555">
        <f t="shared" si="2"/>
        <v>9</v>
      </c>
      <c r="L18" s="462" t="str">
        <f t="shared" si="4"/>
        <v>;</v>
      </c>
      <c r="M18" s="556">
        <f t="shared" si="5"/>
        <v>98</v>
      </c>
      <c r="N18" s="495" t="str">
        <f t="shared" si="6"/>
        <v>)</v>
      </c>
      <c r="O18" s="462"/>
      <c r="P18" s="462"/>
      <c r="Q18" s="462"/>
      <c r="R18" s="462"/>
      <c r="S18" s="1"/>
      <c r="T18" s="1"/>
      <c r="U18" s="1"/>
      <c r="V18" s="1"/>
      <c r="W18" s="1"/>
      <c r="X18" s="1"/>
      <c r="Y18" s="1"/>
      <c r="AC18" s="598">
        <f t="shared" si="0"/>
        <v>98</v>
      </c>
      <c r="AD18" s="598"/>
    </row>
    <row r="19" spans="2:30" ht="15.75" customHeight="1">
      <c r="D19" s="1"/>
      <c r="E19" s="833">
        <f t="shared" si="7"/>
        <v>11</v>
      </c>
      <c r="F19" s="572">
        <f t="shared" si="3"/>
        <v>92</v>
      </c>
      <c r="G19" s="573"/>
      <c r="H19" s="835" t="str">
        <f t="shared" si="8"/>
        <v>Correta!</v>
      </c>
      <c r="I19" s="1"/>
      <c r="J19" s="578" t="str">
        <f t="shared" si="1"/>
        <v>(</v>
      </c>
      <c r="K19" s="555">
        <f t="shared" si="2"/>
        <v>11</v>
      </c>
      <c r="L19" s="462" t="str">
        <f t="shared" si="4"/>
        <v>;</v>
      </c>
      <c r="M19" s="556">
        <f t="shared" si="5"/>
        <v>92</v>
      </c>
      <c r="N19" s="495" t="str">
        <f t="shared" si="6"/>
        <v>)</v>
      </c>
      <c r="O19" s="462"/>
      <c r="P19" s="462"/>
      <c r="Q19" s="462"/>
      <c r="R19" s="462"/>
      <c r="S19" s="1"/>
      <c r="T19" s="1"/>
      <c r="U19" s="1"/>
      <c r="V19" s="1"/>
      <c r="W19" s="1"/>
      <c r="X19" s="1"/>
      <c r="Y19" s="1"/>
      <c r="AC19" s="598">
        <f t="shared" si="0"/>
        <v>92</v>
      </c>
      <c r="AD19" s="598"/>
    </row>
    <row r="20" spans="2:30" ht="15.75" customHeight="1">
      <c r="D20" s="1"/>
      <c r="E20" s="833">
        <f t="shared" si="7"/>
        <v>13</v>
      </c>
      <c r="F20" s="572">
        <f t="shared" si="3"/>
        <v>86</v>
      </c>
      <c r="G20" s="573"/>
      <c r="H20" s="835" t="str">
        <f t="shared" si="8"/>
        <v>Correta!</v>
      </c>
      <c r="I20" s="1"/>
      <c r="J20" s="578" t="str">
        <f t="shared" si="1"/>
        <v>(</v>
      </c>
      <c r="K20" s="555">
        <f t="shared" si="2"/>
        <v>13</v>
      </c>
      <c r="L20" s="462" t="str">
        <f t="shared" si="4"/>
        <v>;</v>
      </c>
      <c r="M20" s="556">
        <f t="shared" si="5"/>
        <v>86</v>
      </c>
      <c r="N20" s="495" t="str">
        <f t="shared" si="6"/>
        <v>)</v>
      </c>
      <c r="O20" s="462"/>
      <c r="P20" s="462"/>
      <c r="Q20" s="462"/>
      <c r="R20" s="462"/>
      <c r="S20" s="1"/>
      <c r="T20" s="1"/>
      <c r="U20" s="1"/>
      <c r="V20" s="1"/>
      <c r="W20" s="1"/>
      <c r="X20" s="1"/>
      <c r="Y20" s="1"/>
      <c r="AC20" s="598">
        <f t="shared" si="0"/>
        <v>86</v>
      </c>
      <c r="AD20" s="598"/>
    </row>
    <row r="21" spans="2:30" ht="15.75" customHeight="1">
      <c r="D21" s="1"/>
      <c r="E21" s="833">
        <f t="shared" si="7"/>
        <v>15</v>
      </c>
      <c r="F21" s="572">
        <f t="shared" si="3"/>
        <v>80</v>
      </c>
      <c r="G21" s="573"/>
      <c r="H21" s="835" t="str">
        <f t="shared" si="8"/>
        <v>Correta!</v>
      </c>
      <c r="I21" s="1"/>
      <c r="J21" s="578" t="str">
        <f t="shared" si="1"/>
        <v>(</v>
      </c>
      <c r="K21" s="555">
        <f t="shared" si="2"/>
        <v>15</v>
      </c>
      <c r="L21" s="462" t="str">
        <f t="shared" si="4"/>
        <v>;</v>
      </c>
      <c r="M21" s="556">
        <f t="shared" si="5"/>
        <v>80</v>
      </c>
      <c r="N21" s="495" t="str">
        <f t="shared" si="6"/>
        <v>)</v>
      </c>
      <c r="O21" s="462"/>
      <c r="P21" s="462"/>
      <c r="Q21" s="462"/>
      <c r="R21" s="462"/>
      <c r="S21" s="1"/>
      <c r="T21" s="1"/>
      <c r="U21" s="1"/>
      <c r="V21" s="1"/>
      <c r="W21" s="1"/>
      <c r="X21" s="1"/>
      <c r="Y21" s="1"/>
      <c r="AC21" s="598">
        <f t="shared" si="0"/>
        <v>80</v>
      </c>
      <c r="AD21" s="598"/>
    </row>
    <row r="22" spans="2:30" ht="15.75" customHeight="1" thickBot="1">
      <c r="D22" s="1"/>
      <c r="E22" s="833">
        <f t="shared" si="7"/>
        <v>17</v>
      </c>
      <c r="F22" s="572">
        <f t="shared" si="3"/>
        <v>74</v>
      </c>
      <c r="G22" s="575"/>
      <c r="H22" s="835" t="str">
        <f t="shared" si="8"/>
        <v>Correta!</v>
      </c>
      <c r="I22" s="1"/>
      <c r="J22" s="580" t="str">
        <f t="shared" si="1"/>
        <v>(</v>
      </c>
      <c r="K22" s="581">
        <f t="shared" si="2"/>
        <v>17</v>
      </c>
      <c r="L22" s="509" t="str">
        <f t="shared" si="4"/>
        <v>;</v>
      </c>
      <c r="M22" s="582">
        <f t="shared" si="5"/>
        <v>74</v>
      </c>
      <c r="N22" s="505" t="str">
        <f t="shared" si="6"/>
        <v>)</v>
      </c>
      <c r="O22" s="462"/>
      <c r="P22" s="462"/>
      <c r="Q22" s="462"/>
      <c r="R22" s="462"/>
      <c r="S22" s="1"/>
      <c r="T22" s="1"/>
      <c r="U22" s="1"/>
      <c r="V22" s="1"/>
      <c r="W22" s="1"/>
      <c r="X22" s="1"/>
      <c r="Y22" s="1"/>
      <c r="AC22" s="598">
        <f t="shared" si="0"/>
        <v>74</v>
      </c>
      <c r="AD22" s="598"/>
    </row>
    <row r="23" spans="2:30" ht="16.5" customHeight="1">
      <c r="D23" s="1"/>
      <c r="E23" s="616" t="str">
        <f>IF(ISNUMBER(F14),IF(ABS(F14-(G$10*E14+I$10))&lt;=0.01,CONCATENATE("*O cálculo da segunda coluna da linha 1 foi  feito assim :    ",G$10,"  .  ",E14,AG$6,I$10), "Linha 1:Correta!" ),"")</f>
        <v>*O cálculo da segunda coluna da linha 1 foi  feito assim :    -3  .  1 + 125</v>
      </c>
      <c r="F23" s="1"/>
      <c r="G23" s="1"/>
      <c r="H23" s="1"/>
      <c r="I23" s="1"/>
      <c r="J23" s="1"/>
      <c r="K23" s="1"/>
      <c r="L23" s="462"/>
      <c r="M23" s="462"/>
      <c r="N23" s="462"/>
      <c r="O23" s="462"/>
      <c r="P23" s="462"/>
      <c r="Q23" s="462"/>
      <c r="R23" s="462"/>
      <c r="S23" s="1"/>
      <c r="T23" s="1"/>
      <c r="U23" s="1"/>
      <c r="V23" s="1"/>
      <c r="W23" s="1"/>
      <c r="X23" s="1"/>
      <c r="Y23" s="1"/>
      <c r="AC23" s="543"/>
      <c r="AD23" s="543"/>
    </row>
    <row r="24" spans="2:30" ht="16.5" customHeight="1">
      <c r="D24" s="1"/>
      <c r="E24" s="544" t="str">
        <f>IF(ISNUMBER(F15),IF(ABS(F15-(G$10*E15+I$10))&gt;0.01,CONCATENATE("** O cálculo da segunda coluna da linha 1 deve ser feito é :    ",G$10,"  .  ",E15,AG$6,I$10), "Linha 1:Correta!" ),"")</f>
        <v>Linha 1:Correta!</v>
      </c>
      <c r="F24" s="1"/>
      <c r="G24" s="1"/>
      <c r="H24" s="1"/>
      <c r="I24" s="1"/>
      <c r="J24" s="1"/>
      <c r="K24" s="1"/>
      <c r="L24" s="1"/>
      <c r="M24" s="1"/>
      <c r="N24" s="1"/>
      <c r="O24" s="462"/>
      <c r="P24" s="462"/>
      <c r="Q24" s="462"/>
      <c r="R24" s="462"/>
      <c r="S24" s="1"/>
      <c r="T24" s="1"/>
      <c r="U24" s="1"/>
      <c r="V24" s="1"/>
      <c r="W24" s="1"/>
      <c r="X24" s="1"/>
      <c r="Y24" s="1"/>
      <c r="AC24" s="543"/>
      <c r="AD24" s="543"/>
    </row>
    <row r="25" spans="2:30" ht="16.5" customHeight="1">
      <c r="D25" s="1"/>
      <c r="E25" s="544" t="str">
        <f>IF(ISNUMBER(F16),IF(ABS(F16-(G$10*E16+I$10))&gt;0.01,CONCATENATE("*** O cálculo da segunda coluna da linha 2 deve ser feito é :    ",G$10,"  .  ",E16,AG$6,I$10), "Linha 2:Correta!" ),"")</f>
        <v>Linha 2:Correta!</v>
      </c>
      <c r="F25" s="1"/>
      <c r="G25" s="1"/>
      <c r="H25" s="1"/>
      <c r="I25" s="1"/>
      <c r="J25" s="1"/>
      <c r="K25" s="1"/>
      <c r="L25" s="1"/>
      <c r="M25" s="1"/>
      <c r="N25" s="1"/>
      <c r="O25" s="462"/>
      <c r="P25" s="462"/>
      <c r="Q25" s="462"/>
      <c r="R25" s="462"/>
      <c r="S25" s="1"/>
      <c r="T25" s="1"/>
      <c r="U25" s="1"/>
      <c r="V25" s="1"/>
      <c r="W25" s="1"/>
      <c r="X25" s="1"/>
      <c r="Y25" s="1"/>
    </row>
    <row r="26" spans="2:30" ht="116.4" customHeight="1">
      <c r="E26" s="534" t="str">
        <f>IF(ISNUMBER(F17),IF(ABS(F17-(G$10*E17+I$10))&gt;0.01,CONCATENATE("*** O cálculo da segunda coluna da linha 3 deve ser feito é :    ",G$10,"  .  ",E17,AG$6,I$10), "Linha 3:Correta!" ),"")</f>
        <v>Linha 3:Correta!</v>
      </c>
    </row>
    <row r="27" spans="2:30" ht="43.8" customHeight="1">
      <c r="C27" s="535"/>
      <c r="D27" s="535"/>
      <c r="E27" s="544" t="str">
        <f>IF(ISNUMBER(F18),IF(ABS(F18-(G$10*E18+I$10))&gt;0.01,CONCATENATE("*** O cálculo da segunda coluna da linha 4 deve ser feito é :    ",G$10,"  .  ",E18,AG$6,I$10), "Linha 4:Correta!" ),"")</f>
        <v>Linha 4:Correta!</v>
      </c>
      <c r="F27" s="1"/>
      <c r="G27" s="535"/>
      <c r="H27" s="535"/>
      <c r="I27" s="535"/>
      <c r="J27" s="535"/>
      <c r="K27" s="535"/>
      <c r="L27" s="535"/>
      <c r="M27" s="535"/>
      <c r="N27" s="535"/>
      <c r="O27" s="569"/>
      <c r="P27" s="569"/>
      <c r="Q27" s="569"/>
      <c r="R27" s="569"/>
      <c r="S27" s="535"/>
      <c r="T27" s="535"/>
      <c r="U27" s="535"/>
      <c r="V27" s="535"/>
      <c r="W27" s="535"/>
      <c r="X27" s="535"/>
      <c r="Y27" s="535"/>
      <c r="Z27" s="535"/>
      <c r="AA27" s="535"/>
    </row>
    <row r="28" spans="2:30" ht="19.5" customHeight="1">
      <c r="B28" s="541"/>
      <c r="E28" s="544" t="str">
        <f>IF(ISNUMBER(F19),IF(ABS(F19-(G$10*E19+I$10))&gt;0.01,CONCATENATE("*** O cálculo da segunda coluna da linha 5 deve ser feito é :    ",G$10,"  .  ",E19,AG$6,I$10), "Linha 5:Correta!" ),"")</f>
        <v>Linha 5:Correta!</v>
      </c>
      <c r="F28" s="1"/>
      <c r="AA28" s="534"/>
    </row>
    <row r="29" spans="2:30" ht="19.5" customHeight="1">
      <c r="B29" s="541"/>
      <c r="E29" s="544" t="str">
        <f>IF(ISNUMBER(F20),IF(ABS(F20-(G$10*E20+I$10))&gt;0.01,CONCATENATE("*** O cálculo da segunda coluna da linha 6 deve ser feito é :    ",G$10,"  .  ",E20,AG$6,I$10), "Linha 6:Correta!" ),"")</f>
        <v>Linha 6:Correta!</v>
      </c>
      <c r="F29" s="1"/>
      <c r="AA29" s="534"/>
    </row>
    <row r="30" spans="2:30" ht="19.5" customHeight="1">
      <c r="B30" s="541"/>
      <c r="E30" s="544" t="str">
        <f>IF(ISNUMBER(F21),IF(ABS(F21-(G$10*E21+I$10))&gt;0.01,CONCATENATE("*** O cálculo da segunda coluna da linha 7 deve ser feito é :    ",G$10,"  .  ",E21,AG$6,I$10), "Linha 7:Correta!" ),"")</f>
        <v>Linha 7:Correta!</v>
      </c>
      <c r="F30" s="1"/>
      <c r="AA30" s="534"/>
    </row>
    <row r="31" spans="2:30" ht="19.5" customHeight="1">
      <c r="B31" s="541"/>
      <c r="E31" s="544" t="str">
        <f>IF(ISNUMBER(F22),IF(ABS(F22-(G$10*E22+I$10))&gt;0.01,CONCATENATE("*** O cálculo da segunda coluna da linha 8 deve ser feito é :    ",G$10,"  .  ",E22,AG$6,I$10), "Linha 8:Correta!" ),"")</f>
        <v>Linha 8:Correta!</v>
      </c>
      <c r="F31" s="1"/>
      <c r="AA31" s="534"/>
    </row>
    <row r="32" spans="2:30" ht="19.5" customHeight="1">
      <c r="B32" s="541"/>
      <c r="E32" s="544" t="str">
        <f t="shared" ref="E26:E33" si="9">IF(ISNUMBER(F23),IF(ABS(F23-(G$10*E23+I$10))&gt;0.01,CONCATENATE("*** O cálculo da segunda coluna da linha 1 deve ser feito é :    ",G$10,"  .  ",E23,AG$6,I$10), "Linha 1:Correta!" ),"")</f>
        <v/>
      </c>
      <c r="F32" s="1"/>
      <c r="AA32" s="534"/>
    </row>
    <row r="33" spans="2:27" ht="19.5" customHeight="1">
      <c r="B33" s="541"/>
      <c r="E33" s="544" t="str">
        <f t="shared" si="9"/>
        <v/>
      </c>
      <c r="F33" s="1"/>
      <c r="AA33" s="534"/>
    </row>
    <row r="34" spans="2:27" ht="19.5" customHeight="1">
      <c r="B34" s="541"/>
      <c r="AA34" s="534"/>
    </row>
    <row r="35" spans="2:27" ht="19.5" customHeight="1">
      <c r="B35" s="541"/>
      <c r="AA35" s="534"/>
    </row>
    <row r="36" spans="2:27" ht="19.5" customHeight="1">
      <c r="B36" s="541"/>
      <c r="AA36" s="534"/>
    </row>
    <row r="37" spans="2:27" ht="19.5" customHeight="1">
      <c r="B37" s="541"/>
      <c r="AA37" s="534"/>
    </row>
    <row r="38" spans="2:27" ht="19.5" customHeight="1">
      <c r="B38" s="541"/>
      <c r="AA38" s="534"/>
    </row>
    <row r="39" spans="2:27" ht="19.5" customHeight="1">
      <c r="B39" s="541"/>
      <c r="AA39" s="534"/>
    </row>
    <row r="40" spans="2:27" ht="19.5" customHeight="1">
      <c r="B40" s="541"/>
      <c r="AA40" s="534"/>
    </row>
    <row r="41" spans="2:27" ht="19.5" customHeight="1">
      <c r="B41" s="541"/>
      <c r="AA41" s="534"/>
    </row>
    <row r="42" spans="2:27" ht="19.5" customHeight="1">
      <c r="B42" s="541"/>
      <c r="AA42" s="534"/>
    </row>
    <row r="43" spans="2:27" ht="19.5" customHeight="1">
      <c r="B43" s="541"/>
      <c r="AA43" s="534"/>
    </row>
    <row r="44" spans="2:27" ht="19.5" customHeight="1">
      <c r="B44" s="541"/>
      <c r="AA44" s="534"/>
    </row>
    <row r="45" spans="2:27" ht="19.5" customHeight="1">
      <c r="B45" s="541"/>
      <c r="AA45" s="534"/>
    </row>
    <row r="46" spans="2:27" ht="19.5" customHeight="1">
      <c r="B46" s="541"/>
      <c r="AA46" s="534"/>
    </row>
    <row r="47" spans="2:27" ht="19.5" customHeight="1">
      <c r="B47" s="541"/>
      <c r="AA47" s="534"/>
    </row>
    <row r="48" spans="2:27" ht="19.5" customHeight="1">
      <c r="B48" s="541"/>
      <c r="AA48" s="534"/>
    </row>
    <row r="49" spans="2:27" ht="19.5" customHeight="1">
      <c r="B49" s="541"/>
      <c r="AA49" s="534"/>
    </row>
    <row r="50" spans="2:27" ht="19.5" customHeight="1">
      <c r="B50" s="541"/>
      <c r="AA50" s="534"/>
    </row>
    <row r="51" spans="2:27" ht="19.5" customHeight="1">
      <c r="B51" s="541"/>
      <c r="AA51" s="534"/>
    </row>
    <row r="52" spans="2:27" ht="19.5" customHeight="1">
      <c r="B52" s="541"/>
      <c r="AA52" s="534"/>
    </row>
    <row r="53" spans="2:27" ht="19.5" customHeight="1">
      <c r="B53" s="541"/>
      <c r="AA53" s="534"/>
    </row>
    <row r="54" spans="2:27" ht="19.5" customHeight="1">
      <c r="B54" s="541"/>
      <c r="AA54" s="534"/>
    </row>
    <row r="55" spans="2:27" ht="19.5" customHeight="1">
      <c r="B55" s="541"/>
      <c r="AA55" s="534"/>
    </row>
    <row r="56" spans="2:27" ht="19.5" customHeight="1">
      <c r="B56" s="541"/>
      <c r="AA56" s="534"/>
    </row>
    <row r="57" spans="2:27" ht="19.5" customHeight="1">
      <c r="B57" s="541"/>
      <c r="AA57" s="534"/>
    </row>
    <row r="58" spans="2:27" ht="19.5" customHeight="1">
      <c r="B58" s="541"/>
      <c r="AA58" s="534"/>
    </row>
    <row r="59" spans="2:27" ht="19.5" customHeight="1">
      <c r="B59" s="541"/>
      <c r="AA59" s="534"/>
    </row>
    <row r="60" spans="2:27" ht="19.5" customHeight="1">
      <c r="B60" s="541"/>
      <c r="AA60" s="534"/>
    </row>
    <row r="61" spans="2:27" ht="19.5" customHeight="1">
      <c r="B61" s="541"/>
      <c r="AA61" s="534"/>
    </row>
    <row r="62" spans="2:27" ht="19.5" customHeight="1">
      <c r="B62" s="541"/>
      <c r="AA62" s="534"/>
    </row>
    <row r="63" spans="2:27" ht="19.5" customHeight="1">
      <c r="B63" s="541"/>
      <c r="AA63" s="534"/>
    </row>
    <row r="64" spans="2:27" ht="19.5" customHeight="1">
      <c r="B64" s="541"/>
      <c r="AA64" s="534"/>
    </row>
    <row r="65" spans="2:27" ht="19.5" customHeight="1">
      <c r="B65" s="541"/>
      <c r="AA65" s="534"/>
    </row>
    <row r="66" spans="2:27" ht="19.5" customHeight="1">
      <c r="B66" s="541"/>
      <c r="AA66" s="534"/>
    </row>
    <row r="67" spans="2:27" ht="19.5" customHeight="1">
      <c r="B67" s="541"/>
      <c r="AA67" s="534"/>
    </row>
    <row r="68" spans="2:27" ht="19.5" customHeight="1">
      <c r="B68" s="541"/>
      <c r="AA68" s="534"/>
    </row>
    <row r="69" spans="2:27" ht="19.5" customHeight="1">
      <c r="B69" s="541"/>
      <c r="AA69" s="534"/>
    </row>
    <row r="70" spans="2:27" ht="19.5" customHeight="1">
      <c r="B70" s="541"/>
      <c r="AA70" s="534"/>
    </row>
    <row r="71" spans="2:27" ht="19.5" customHeight="1">
      <c r="B71" s="541"/>
      <c r="AA71" s="534"/>
    </row>
    <row r="72" spans="2:27" ht="19.5" customHeight="1">
      <c r="B72" s="541"/>
      <c r="AA72" s="534"/>
    </row>
    <row r="73" spans="2:27" ht="19.5" customHeight="1">
      <c r="B73" s="541"/>
      <c r="AA73" s="534"/>
    </row>
    <row r="74" spans="2:27" ht="19.5" customHeight="1">
      <c r="B74" s="541"/>
      <c r="AA74" s="534"/>
    </row>
    <row r="75" spans="2:27" ht="19.5" customHeight="1">
      <c r="B75" s="541"/>
      <c r="AA75" s="534"/>
    </row>
    <row r="76" spans="2:27" ht="19.5" customHeight="1">
      <c r="B76" s="541"/>
      <c r="AA76" s="534"/>
    </row>
    <row r="77" spans="2:27" ht="19.5" customHeight="1">
      <c r="B77" s="541"/>
      <c r="AA77" s="534"/>
    </row>
    <row r="78" spans="2:27" ht="19.5" customHeight="1">
      <c r="B78" s="541"/>
      <c r="AA78" s="534"/>
    </row>
    <row r="79" spans="2:27" ht="19.5" customHeight="1">
      <c r="B79" s="541"/>
      <c r="AA79" s="534"/>
    </row>
    <row r="80" spans="2:27" ht="19.5" customHeight="1">
      <c r="B80" s="541"/>
      <c r="AA80" s="534"/>
    </row>
    <row r="81" spans="2:27" ht="19.5" customHeight="1">
      <c r="B81" s="541"/>
      <c r="AA81" s="534"/>
    </row>
    <row r="82" spans="2:27" ht="19.5" customHeight="1">
      <c r="B82" s="541"/>
      <c r="AA82" s="534"/>
    </row>
    <row r="83" spans="2:27" ht="19.5" customHeight="1">
      <c r="B83" s="541"/>
      <c r="AA83" s="534"/>
    </row>
    <row r="84" spans="2:27" ht="19.5" customHeight="1">
      <c r="B84" s="541"/>
      <c r="AA84" s="534"/>
    </row>
    <row r="85" spans="2:27" ht="19.5" customHeight="1">
      <c r="B85" s="541"/>
      <c r="AA85" s="534"/>
    </row>
    <row r="86" spans="2:27" ht="19.5" customHeight="1">
      <c r="B86" s="541"/>
      <c r="AA86" s="534"/>
    </row>
    <row r="87" spans="2:27" ht="19.5" customHeight="1">
      <c r="B87" s="541"/>
      <c r="AA87" s="534"/>
    </row>
    <row r="88" spans="2:27" ht="19.5" customHeight="1">
      <c r="B88" s="541"/>
      <c r="AA88" s="534"/>
    </row>
    <row r="89" spans="2:27" ht="19.5" customHeight="1">
      <c r="B89" s="541"/>
      <c r="AA89" s="534"/>
    </row>
    <row r="90" spans="2:27" ht="19.5" customHeight="1">
      <c r="B90" s="541"/>
      <c r="AA90" s="534"/>
    </row>
    <row r="91" spans="2:27" ht="19.5" customHeight="1">
      <c r="B91" s="541"/>
      <c r="AA91" s="534"/>
    </row>
    <row r="92" spans="2:27" ht="19.5" customHeight="1">
      <c r="B92" s="541"/>
      <c r="AA92" s="534"/>
    </row>
    <row r="93" spans="2:27" ht="19.5" customHeight="1">
      <c r="B93" s="541"/>
      <c r="AA93" s="534"/>
    </row>
    <row r="94" spans="2:27" ht="19.5" customHeight="1">
      <c r="B94" s="541"/>
      <c r="AA94" s="534"/>
    </row>
    <row r="95" spans="2:27" ht="19.5" customHeight="1">
      <c r="B95" s="541"/>
      <c r="AA95" s="534"/>
    </row>
    <row r="96" spans="2:27" ht="19.5" customHeight="1">
      <c r="B96" s="541"/>
      <c r="AA96" s="534"/>
    </row>
    <row r="97" spans="2:27" ht="19.5" customHeight="1">
      <c r="B97" s="541"/>
      <c r="AA97" s="534"/>
    </row>
    <row r="98" spans="2:27" ht="19.5" customHeight="1">
      <c r="B98" s="541"/>
      <c r="AA98" s="534"/>
    </row>
    <row r="99" spans="2:27" ht="19.5" customHeight="1">
      <c r="B99" s="541"/>
      <c r="AA99" s="534"/>
    </row>
    <row r="100" spans="2:27" ht="19.5" customHeight="1">
      <c r="B100" s="541"/>
      <c r="AA100" s="534"/>
    </row>
    <row r="101" spans="2:27" ht="19.5" customHeight="1">
      <c r="B101" s="541"/>
      <c r="AA101" s="534"/>
    </row>
    <row r="102" spans="2:27" ht="19.5" customHeight="1">
      <c r="B102" s="541"/>
      <c r="AA102" s="534"/>
    </row>
    <row r="103" spans="2:27" ht="19.5" customHeight="1">
      <c r="B103" s="541"/>
      <c r="AA103" s="534"/>
    </row>
    <row r="104" spans="2:27" ht="19.5" customHeight="1">
      <c r="B104" s="541"/>
      <c r="AA104" s="534"/>
    </row>
    <row r="105" spans="2:27" ht="19.5" customHeight="1">
      <c r="B105" s="541"/>
      <c r="AA105" s="534"/>
    </row>
    <row r="106" spans="2:27" ht="19.5" customHeight="1">
      <c r="B106" s="541"/>
      <c r="AA106" s="534"/>
    </row>
    <row r="107" spans="2:27" ht="19.5" customHeight="1">
      <c r="B107" s="541"/>
      <c r="AA107" s="534"/>
    </row>
    <row r="108" spans="2:27" ht="19.5" customHeight="1">
      <c r="B108" s="541"/>
      <c r="AA108" s="534"/>
    </row>
    <row r="109" spans="2:27" ht="19.5" customHeight="1">
      <c r="B109" s="541"/>
      <c r="AA109" s="534"/>
    </row>
    <row r="110" spans="2:27" ht="19.5" customHeight="1">
      <c r="B110" s="541"/>
      <c r="AA110" s="534"/>
    </row>
    <row r="111" spans="2:27" ht="19.5" customHeight="1">
      <c r="B111" s="541"/>
      <c r="AA111" s="534"/>
    </row>
    <row r="112" spans="2:27" ht="19.5" customHeight="1">
      <c r="B112" s="541"/>
      <c r="AA112" s="534"/>
    </row>
    <row r="113" spans="2:27" ht="19.5" customHeight="1">
      <c r="B113" s="541"/>
      <c r="AA113" s="534"/>
    </row>
    <row r="114" spans="2:27" ht="19.5" customHeight="1">
      <c r="B114" s="541"/>
      <c r="AA114" s="534"/>
    </row>
    <row r="115" spans="2:27" ht="19.5" customHeight="1">
      <c r="B115" s="541"/>
      <c r="AA115" s="534"/>
    </row>
    <row r="116" spans="2:27" ht="19.5" customHeight="1">
      <c r="B116" s="541"/>
      <c r="AA116" s="534"/>
    </row>
    <row r="117" spans="2:27" ht="19.5" customHeight="1">
      <c r="B117" s="541"/>
      <c r="AA117" s="534"/>
    </row>
    <row r="118" spans="2:27" ht="19.5" customHeight="1">
      <c r="B118" s="541"/>
      <c r="AA118" s="534"/>
    </row>
    <row r="119" spans="2:27" ht="19.5" customHeight="1">
      <c r="B119" s="541"/>
      <c r="AA119" s="534"/>
    </row>
    <row r="120" spans="2:27" ht="19.5" customHeight="1">
      <c r="B120" s="541"/>
      <c r="AA120" s="534"/>
    </row>
    <row r="121" spans="2:27" ht="19.5" customHeight="1">
      <c r="B121" s="541"/>
      <c r="AA121" s="534"/>
    </row>
    <row r="122" spans="2:27" ht="19.5" customHeight="1">
      <c r="B122" s="541"/>
      <c r="AA122" s="534"/>
    </row>
    <row r="123" spans="2:27" ht="19.5" customHeight="1">
      <c r="B123" s="541"/>
      <c r="AA123" s="534"/>
    </row>
    <row r="124" spans="2:27" ht="19.5" customHeight="1">
      <c r="B124" s="541"/>
      <c r="AA124" s="534"/>
    </row>
    <row r="125" spans="2:27" ht="19.5" customHeight="1">
      <c r="B125" s="541"/>
      <c r="AA125" s="534"/>
    </row>
    <row r="126" spans="2:27" ht="19.5" customHeight="1">
      <c r="B126" s="541"/>
      <c r="AA126" s="534"/>
    </row>
    <row r="127" spans="2:27" ht="19.5" customHeight="1">
      <c r="B127" s="541"/>
      <c r="AA127" s="534"/>
    </row>
    <row r="128" spans="2:27" ht="19.5" customHeight="1">
      <c r="B128" s="541"/>
      <c r="AA128" s="534"/>
    </row>
    <row r="129" spans="2:27" ht="19.5" customHeight="1">
      <c r="B129" s="541"/>
      <c r="AA129" s="534"/>
    </row>
    <row r="130" spans="2:27" ht="19.5" customHeight="1">
      <c r="B130" s="541"/>
      <c r="AA130" s="534"/>
    </row>
    <row r="131" spans="2:27" ht="19.5" customHeight="1">
      <c r="B131" s="541"/>
      <c r="AA131" s="534"/>
    </row>
    <row r="132" spans="2:27" ht="19.5" customHeight="1">
      <c r="B132" s="541"/>
      <c r="AA132" s="534"/>
    </row>
    <row r="133" spans="2:27" ht="19.5" customHeight="1">
      <c r="B133" s="541"/>
      <c r="AA133" s="534"/>
    </row>
    <row r="134" spans="2:27" ht="19.5" customHeight="1">
      <c r="B134" s="541"/>
      <c r="AA134" s="534"/>
    </row>
    <row r="135" spans="2:27" ht="19.5" customHeight="1">
      <c r="B135" s="541"/>
      <c r="AA135" s="534"/>
    </row>
    <row r="136" spans="2:27" ht="19.5" customHeight="1">
      <c r="B136" s="541"/>
      <c r="AA136" s="534"/>
    </row>
    <row r="137" spans="2:27" ht="19.5" customHeight="1">
      <c r="B137" s="541"/>
      <c r="AA137" s="534"/>
    </row>
    <row r="138" spans="2:27" ht="19.5" customHeight="1">
      <c r="B138" s="541"/>
      <c r="AA138" s="534"/>
    </row>
    <row r="139" spans="2:27" ht="19.5" customHeight="1">
      <c r="B139" s="541"/>
      <c r="AA139" s="534"/>
    </row>
    <row r="140" spans="2:27" ht="19.5" customHeight="1">
      <c r="B140" s="541"/>
      <c r="AA140" s="534"/>
    </row>
    <row r="141" spans="2:27" ht="19.5" customHeight="1">
      <c r="B141" s="541"/>
      <c r="AA141" s="534"/>
    </row>
    <row r="142" spans="2:27" ht="19.5" customHeight="1">
      <c r="B142" s="541"/>
      <c r="AA142" s="534"/>
    </row>
    <row r="143" spans="2:27" ht="19.5" customHeight="1">
      <c r="B143" s="541"/>
      <c r="AA143" s="534"/>
    </row>
    <row r="144" spans="2:27" ht="19.5" customHeight="1">
      <c r="B144" s="541"/>
      <c r="AA144" s="534"/>
    </row>
    <row r="145" spans="2:27" ht="19.5" customHeight="1">
      <c r="B145" s="541"/>
      <c r="AA145" s="534"/>
    </row>
    <row r="146" spans="2:27" ht="19.5" customHeight="1">
      <c r="B146" s="541"/>
      <c r="AA146" s="534"/>
    </row>
    <row r="147" spans="2:27" ht="19.5" customHeight="1">
      <c r="B147" s="541"/>
      <c r="AA147" s="534"/>
    </row>
    <row r="148" spans="2:27" ht="19.5" customHeight="1">
      <c r="B148" s="541"/>
      <c r="AA148" s="534"/>
    </row>
    <row r="149" spans="2:27" ht="19.5" customHeight="1">
      <c r="B149" s="541"/>
      <c r="AA149" s="534"/>
    </row>
    <row r="150" spans="2:27" ht="19.5" customHeight="1">
      <c r="B150" s="541"/>
      <c r="AA150" s="534"/>
    </row>
    <row r="151" spans="2:27" ht="19.5" customHeight="1">
      <c r="B151" s="541"/>
      <c r="AA151" s="534"/>
    </row>
    <row r="152" spans="2:27" ht="19.5" customHeight="1">
      <c r="B152" s="541"/>
      <c r="AA152" s="534"/>
    </row>
    <row r="153" spans="2:27" ht="19.5" customHeight="1">
      <c r="B153" s="541"/>
      <c r="AA153" s="534"/>
    </row>
    <row r="154" spans="2:27" ht="19.5" customHeight="1">
      <c r="B154" s="541"/>
      <c r="AA154" s="534"/>
    </row>
    <row r="155" spans="2:27" ht="19.5" customHeight="1">
      <c r="B155" s="541"/>
      <c r="AA155" s="534"/>
    </row>
    <row r="156" spans="2:27" ht="19.5" customHeight="1">
      <c r="B156" s="541"/>
      <c r="AA156" s="534"/>
    </row>
    <row r="157" spans="2:27" ht="19.5" customHeight="1">
      <c r="B157" s="541"/>
      <c r="AA157" s="534"/>
    </row>
    <row r="158" spans="2:27" ht="19.5" customHeight="1">
      <c r="B158" s="541"/>
      <c r="AA158" s="534"/>
    </row>
    <row r="159" spans="2:27" ht="19.5" customHeight="1">
      <c r="B159" s="541"/>
      <c r="AA159" s="534"/>
    </row>
    <row r="160" spans="2:27" ht="19.5" customHeight="1">
      <c r="B160" s="541"/>
      <c r="AA160" s="534"/>
    </row>
    <row r="161" spans="2:27" ht="19.5" customHeight="1">
      <c r="B161" s="541"/>
      <c r="AA161" s="534"/>
    </row>
    <row r="162" spans="2:27" ht="19.5" customHeight="1">
      <c r="B162" s="541"/>
      <c r="AA162" s="534"/>
    </row>
    <row r="163" spans="2:27" ht="19.5" customHeight="1">
      <c r="B163" s="541"/>
      <c r="AA163" s="534"/>
    </row>
    <row r="164" spans="2:27" ht="19.5" customHeight="1">
      <c r="B164" s="541"/>
      <c r="AA164" s="534"/>
    </row>
    <row r="165" spans="2:27" ht="19.5" customHeight="1">
      <c r="B165" s="541"/>
      <c r="AA165" s="534"/>
    </row>
    <row r="166" spans="2:27" ht="19.5" customHeight="1">
      <c r="B166" s="541"/>
      <c r="AA166" s="534"/>
    </row>
    <row r="167" spans="2:27" ht="19.5" customHeight="1">
      <c r="B167" s="541"/>
      <c r="AA167" s="534"/>
    </row>
    <row r="168" spans="2:27" ht="19.5" customHeight="1">
      <c r="B168" s="541"/>
      <c r="AA168" s="534"/>
    </row>
    <row r="169" spans="2:27" ht="19.5" customHeight="1">
      <c r="B169" s="541"/>
      <c r="AA169" s="534"/>
    </row>
    <row r="170" spans="2:27" ht="19.5" customHeight="1">
      <c r="B170" s="541"/>
      <c r="AA170" s="534"/>
    </row>
    <row r="171" spans="2:27" ht="19.5" customHeight="1">
      <c r="B171" s="541"/>
      <c r="AA171" s="534"/>
    </row>
    <row r="172" spans="2:27" ht="19.5" customHeight="1">
      <c r="B172" s="541"/>
      <c r="AA172" s="534"/>
    </row>
    <row r="173" spans="2:27" ht="19.5" customHeight="1">
      <c r="B173" s="541"/>
      <c r="AA173" s="534"/>
    </row>
    <row r="174" spans="2:27" ht="19.5" customHeight="1">
      <c r="B174" s="541"/>
      <c r="AA174" s="534"/>
    </row>
    <row r="175" spans="2:27" ht="19.5" customHeight="1">
      <c r="B175" s="541"/>
      <c r="AA175" s="534"/>
    </row>
    <row r="176" spans="2:27" ht="19.5" customHeight="1">
      <c r="B176" s="541"/>
      <c r="AA176" s="534"/>
    </row>
    <row r="177" spans="2:27" ht="19.5" customHeight="1">
      <c r="B177" s="541"/>
      <c r="AA177" s="534"/>
    </row>
    <row r="178" spans="2:27" ht="19.5" customHeight="1">
      <c r="B178" s="541"/>
      <c r="AA178" s="534"/>
    </row>
    <row r="179" spans="2:27" ht="19.5" customHeight="1">
      <c r="B179" s="541"/>
      <c r="AA179" s="534"/>
    </row>
    <row r="180" spans="2:27" ht="19.5" customHeight="1">
      <c r="B180" s="541"/>
      <c r="AA180" s="534"/>
    </row>
    <row r="181" spans="2:27" ht="19.5" customHeight="1">
      <c r="B181" s="541"/>
      <c r="AA181" s="534"/>
    </row>
    <row r="182" spans="2:27" ht="19.5" customHeight="1">
      <c r="B182" s="541"/>
      <c r="AA182" s="534"/>
    </row>
    <row r="183" spans="2:27" ht="19.5" customHeight="1">
      <c r="B183" s="541"/>
      <c r="AA183" s="534"/>
    </row>
    <row r="184" spans="2:27" ht="19.5" customHeight="1">
      <c r="B184" s="541"/>
      <c r="AA184" s="534"/>
    </row>
    <row r="185" spans="2:27" ht="19.5" customHeight="1">
      <c r="B185" s="541"/>
      <c r="AA185" s="534"/>
    </row>
    <row r="186" spans="2:27" ht="19.5" customHeight="1">
      <c r="B186" s="541"/>
      <c r="AA186" s="534"/>
    </row>
    <row r="187" spans="2:27" ht="19.5" customHeight="1">
      <c r="B187" s="541"/>
      <c r="AA187" s="534"/>
    </row>
    <row r="188" spans="2:27" ht="19.5" customHeight="1">
      <c r="B188" s="541"/>
      <c r="AA188" s="534"/>
    </row>
    <row r="189" spans="2:27" ht="19.5" customHeight="1">
      <c r="B189" s="541"/>
      <c r="AA189" s="534"/>
    </row>
    <row r="190" spans="2:27" ht="19.5" customHeight="1">
      <c r="B190" s="541"/>
      <c r="AA190" s="534"/>
    </row>
    <row r="191" spans="2:27" ht="19.5" customHeight="1">
      <c r="B191" s="541"/>
      <c r="AA191" s="534"/>
    </row>
    <row r="192" spans="2:27" ht="19.5" customHeight="1">
      <c r="B192" s="541"/>
      <c r="AA192" s="534"/>
    </row>
    <row r="193" spans="2:27" ht="19.5" customHeight="1">
      <c r="B193" s="541"/>
      <c r="AA193" s="534"/>
    </row>
    <row r="194" spans="2:27" ht="19.5" customHeight="1">
      <c r="B194" s="541"/>
      <c r="AA194" s="534"/>
    </row>
    <row r="195" spans="2:27" ht="19.5" customHeight="1">
      <c r="B195" s="541"/>
      <c r="AA195" s="534"/>
    </row>
    <row r="196" spans="2:27" ht="19.5" customHeight="1">
      <c r="B196" s="541"/>
      <c r="AA196" s="534"/>
    </row>
    <row r="197" spans="2:27" ht="19.5" customHeight="1">
      <c r="B197" s="541"/>
      <c r="AA197" s="534"/>
    </row>
    <row r="198" spans="2:27" ht="19.5" customHeight="1">
      <c r="B198" s="541"/>
      <c r="AA198" s="534"/>
    </row>
    <row r="199" spans="2:27" ht="19.5" customHeight="1">
      <c r="B199" s="541"/>
      <c r="AA199" s="534"/>
    </row>
    <row r="200" spans="2:27" ht="19.5" customHeight="1">
      <c r="B200" s="541"/>
      <c r="AA200" s="534"/>
    </row>
    <row r="201" spans="2:27" ht="19.5" customHeight="1">
      <c r="B201" s="541"/>
      <c r="AA201" s="534"/>
    </row>
    <row r="202" spans="2:27" ht="19.5" customHeight="1">
      <c r="B202" s="541"/>
      <c r="AA202" s="534"/>
    </row>
    <row r="203" spans="2:27" ht="19.5" customHeight="1">
      <c r="B203" s="541"/>
      <c r="AA203" s="534"/>
    </row>
    <row r="204" spans="2:27" ht="19.5" customHeight="1">
      <c r="B204" s="541"/>
      <c r="AA204" s="534"/>
    </row>
    <row r="205" spans="2:27" ht="19.5" customHeight="1">
      <c r="B205" s="541"/>
      <c r="AA205" s="534"/>
    </row>
    <row r="206" spans="2:27" ht="19.5" customHeight="1">
      <c r="B206" s="541"/>
      <c r="AA206" s="534"/>
    </row>
    <row r="207" spans="2:27" ht="19.5" customHeight="1">
      <c r="B207" s="541"/>
      <c r="AA207" s="534"/>
    </row>
    <row r="208" spans="2:27" ht="19.5" customHeight="1">
      <c r="B208" s="541"/>
      <c r="AA208" s="534"/>
    </row>
    <row r="209" spans="2:27" ht="19.5" customHeight="1">
      <c r="B209" s="541"/>
      <c r="AA209" s="534"/>
    </row>
    <row r="210" spans="2:27" ht="19.5" customHeight="1">
      <c r="B210" s="541"/>
      <c r="AA210" s="534"/>
    </row>
    <row r="211" spans="2:27" ht="19.5" customHeight="1">
      <c r="B211" s="541"/>
      <c r="AA211" s="534"/>
    </row>
    <row r="212" spans="2:27" ht="19.5" customHeight="1">
      <c r="B212" s="541"/>
      <c r="AA212" s="534"/>
    </row>
    <row r="213" spans="2:27" ht="19.5" customHeight="1">
      <c r="B213" s="541"/>
      <c r="AA213" s="534"/>
    </row>
    <row r="214" spans="2:27" ht="19.5" customHeight="1">
      <c r="B214" s="541"/>
      <c r="AA214" s="534"/>
    </row>
    <row r="215" spans="2:27" ht="19.5" customHeight="1">
      <c r="B215" s="541"/>
      <c r="AA215" s="534"/>
    </row>
    <row r="216" spans="2:27" ht="19.5" customHeight="1">
      <c r="B216" s="541"/>
      <c r="AA216" s="534"/>
    </row>
    <row r="217" spans="2:27" ht="19.5" customHeight="1">
      <c r="B217" s="541"/>
      <c r="AA217" s="534"/>
    </row>
    <row r="218" spans="2:27" ht="19.5" customHeight="1">
      <c r="B218" s="541"/>
      <c r="AA218" s="534"/>
    </row>
    <row r="219" spans="2:27" ht="19.5" customHeight="1">
      <c r="B219" s="541"/>
      <c r="AA219" s="534"/>
    </row>
    <row r="220" spans="2:27" ht="19.5" customHeight="1">
      <c r="B220" s="541"/>
      <c r="AA220" s="534"/>
    </row>
    <row r="221" spans="2:27" ht="19.5" customHeight="1">
      <c r="B221" s="541"/>
      <c r="AA221" s="534"/>
    </row>
    <row r="222" spans="2:27" ht="19.5" customHeight="1">
      <c r="B222" s="541"/>
      <c r="AA222" s="534"/>
    </row>
    <row r="223" spans="2:27" ht="19.5" customHeight="1">
      <c r="B223" s="541"/>
      <c r="AA223" s="534"/>
    </row>
    <row r="224" spans="2:27" ht="19.5" customHeight="1">
      <c r="B224" s="541"/>
      <c r="AA224" s="534"/>
    </row>
    <row r="225" spans="2:27" ht="19.5" customHeight="1">
      <c r="B225" s="541"/>
      <c r="AA225" s="534"/>
    </row>
    <row r="226" spans="2:27" ht="19.5" customHeight="1">
      <c r="B226" s="541"/>
      <c r="AA226" s="534"/>
    </row>
    <row r="227" spans="2:27" ht="19.5" customHeight="1">
      <c r="B227" s="541"/>
      <c r="AA227" s="534"/>
    </row>
    <row r="228" spans="2:27" ht="19.5" customHeight="1">
      <c r="B228" s="541"/>
      <c r="AA228" s="534"/>
    </row>
    <row r="229" spans="2:27" ht="19.5" customHeight="1">
      <c r="B229" s="541"/>
      <c r="AA229" s="534"/>
    </row>
    <row r="230" spans="2:27" ht="19.5" customHeight="1">
      <c r="B230" s="541"/>
      <c r="AA230" s="534"/>
    </row>
    <row r="231" spans="2:27" ht="19.5" customHeight="1">
      <c r="B231" s="541"/>
      <c r="AA231" s="534"/>
    </row>
    <row r="232" spans="2:27" ht="19.5" customHeight="1">
      <c r="B232" s="541"/>
      <c r="AA232" s="534"/>
    </row>
    <row r="233" spans="2:27" ht="19.5" customHeight="1">
      <c r="B233" s="541"/>
      <c r="AA233" s="534"/>
    </row>
    <row r="234" spans="2:27" ht="19.5" customHeight="1">
      <c r="B234" s="541"/>
      <c r="AA234" s="534"/>
    </row>
    <row r="235" spans="2:27" ht="19.5" customHeight="1">
      <c r="B235" s="541"/>
      <c r="AA235" s="534"/>
    </row>
    <row r="236" spans="2:27" ht="19.5" customHeight="1">
      <c r="B236" s="541"/>
      <c r="AA236" s="534"/>
    </row>
    <row r="237" spans="2:27" ht="19.5" customHeight="1">
      <c r="B237" s="541"/>
      <c r="AA237" s="534"/>
    </row>
    <row r="238" spans="2:27" ht="19.5" customHeight="1">
      <c r="B238" s="541"/>
      <c r="AA238" s="534"/>
    </row>
    <row r="239" spans="2:27" ht="19.5" customHeight="1">
      <c r="B239" s="541"/>
      <c r="AA239" s="534"/>
    </row>
    <row r="240" spans="2:27" ht="19.5" customHeight="1">
      <c r="B240" s="541"/>
      <c r="AA240" s="534"/>
    </row>
    <row r="241" spans="2:27" ht="19.5" customHeight="1">
      <c r="B241" s="541"/>
      <c r="AA241" s="534"/>
    </row>
    <row r="242" spans="2:27" ht="19.5" customHeight="1">
      <c r="B242" s="541"/>
      <c r="AA242" s="534"/>
    </row>
    <row r="243" spans="2:27" ht="19.5" customHeight="1">
      <c r="B243" s="541"/>
      <c r="AA243" s="534"/>
    </row>
    <row r="244" spans="2:27" ht="19.5" customHeight="1">
      <c r="B244" s="541"/>
      <c r="AA244" s="534"/>
    </row>
    <row r="245" spans="2:27" ht="19.5" customHeight="1">
      <c r="B245" s="541"/>
      <c r="AA245" s="534"/>
    </row>
    <row r="246" spans="2:27" ht="19.5" customHeight="1">
      <c r="B246" s="541"/>
      <c r="AA246" s="534"/>
    </row>
    <row r="247" spans="2:27" ht="19.5" customHeight="1">
      <c r="B247" s="541"/>
      <c r="AA247" s="534"/>
    </row>
    <row r="248" spans="2:27" ht="19.5" customHeight="1">
      <c r="B248" s="541"/>
      <c r="AA248" s="534"/>
    </row>
    <row r="249" spans="2:27" ht="19.5" customHeight="1">
      <c r="B249" s="541"/>
      <c r="AA249" s="534"/>
    </row>
    <row r="250" spans="2:27" ht="19.5" customHeight="1">
      <c r="B250" s="541"/>
      <c r="AA250" s="534"/>
    </row>
    <row r="251" spans="2:27" ht="19.5" customHeight="1">
      <c r="B251" s="541"/>
      <c r="AA251" s="534"/>
    </row>
    <row r="252" spans="2:27" ht="19.5" customHeight="1">
      <c r="B252" s="541"/>
      <c r="AA252" s="534"/>
    </row>
    <row r="253" spans="2:27" ht="19.5" customHeight="1">
      <c r="B253" s="541"/>
      <c r="AA253" s="534"/>
    </row>
    <row r="254" spans="2:27" ht="19.5" customHeight="1">
      <c r="B254" s="541"/>
      <c r="AA254" s="534"/>
    </row>
    <row r="255" spans="2:27" ht="19.5" customHeight="1">
      <c r="B255" s="541"/>
      <c r="AA255" s="534"/>
    </row>
    <row r="256" spans="2:27" ht="19.5" customHeight="1">
      <c r="B256" s="541"/>
      <c r="AA256" s="534"/>
    </row>
    <row r="257" spans="2:27" ht="19.5" customHeight="1">
      <c r="B257" s="541"/>
      <c r="AA257" s="534"/>
    </row>
    <row r="258" spans="2:27" ht="19.5" customHeight="1">
      <c r="B258" s="541"/>
      <c r="AA258" s="534"/>
    </row>
    <row r="259" spans="2:27" ht="19.5" customHeight="1">
      <c r="B259" s="541"/>
      <c r="AA259" s="534"/>
    </row>
    <row r="260" spans="2:27" ht="19.5" customHeight="1">
      <c r="B260" s="541"/>
      <c r="AA260" s="534"/>
    </row>
    <row r="261" spans="2:27" ht="19.5" customHeight="1">
      <c r="B261" s="541"/>
      <c r="AA261" s="534"/>
    </row>
    <row r="262" spans="2:27" ht="19.5" customHeight="1">
      <c r="B262" s="541"/>
      <c r="AA262" s="534"/>
    </row>
    <row r="263" spans="2:27" ht="19.5" customHeight="1">
      <c r="B263" s="541"/>
      <c r="AA263" s="534"/>
    </row>
    <row r="264" spans="2:27" ht="19.5" customHeight="1">
      <c r="B264" s="541"/>
      <c r="AA264" s="534"/>
    </row>
    <row r="265" spans="2:27" ht="19.5" customHeight="1">
      <c r="B265" s="541"/>
      <c r="AA265" s="534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8"/>
  <sheetViews>
    <sheetView tabSelected="1" topLeftCell="A9" workbookViewId="0">
      <selection activeCell="J4" sqref="J4"/>
    </sheetView>
  </sheetViews>
  <sheetFormatPr defaultColWidth="9.109375" defaultRowHeight="13.2"/>
  <cols>
    <col min="1" max="1" width="2.88671875" style="1" customWidth="1"/>
    <col min="2" max="3" width="3.5546875" style="1" customWidth="1"/>
    <col min="4" max="7" width="6.44140625" style="1" customWidth="1"/>
    <col min="8" max="8" width="5.109375" style="1" customWidth="1"/>
    <col min="9" max="9" width="6.44140625" style="1" customWidth="1"/>
    <col min="10" max="10" width="8.6640625" style="1" customWidth="1"/>
    <col min="11" max="15" width="9.109375" style="1"/>
    <col min="16" max="16" width="6.6640625" style="1" customWidth="1"/>
    <col min="17" max="17" width="14.88671875" style="1" customWidth="1"/>
    <col min="18" max="18" width="5.88671875" style="1" customWidth="1"/>
    <col min="19" max="20" width="9.109375" style="1"/>
    <col min="21" max="21" width="21.44140625" style="1" customWidth="1"/>
    <col min="22" max="22" width="2.88671875" style="1" customWidth="1"/>
    <col min="23" max="23" width="3" style="1" customWidth="1"/>
    <col min="24" max="24" width="2.44140625" style="1" customWidth="1"/>
    <col min="25" max="25" width="9.109375" style="1"/>
    <col min="26" max="26" width="3.44140625" style="1" customWidth="1"/>
    <col min="27" max="16384" width="9.109375" style="1"/>
  </cols>
  <sheetData>
    <row r="1" spans="1:28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</row>
    <row r="2" spans="1:28">
      <c r="A2" s="442"/>
      <c r="X2" s="442"/>
      <c r="Y2" s="442"/>
      <c r="Z2" s="442"/>
      <c r="AA2" s="442"/>
      <c r="AB2" s="442"/>
    </row>
    <row r="3" spans="1:28">
      <c r="A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X3" s="442"/>
      <c r="Y3" s="442"/>
      <c r="Z3" s="442"/>
      <c r="AA3" s="442"/>
      <c r="AB3" s="442"/>
    </row>
    <row r="4" spans="1:28">
      <c r="A4" s="442"/>
      <c r="C4" s="442"/>
      <c r="V4" s="442"/>
      <c r="X4" s="442"/>
      <c r="Y4" s="443"/>
      <c r="Z4" s="443" t="s">
        <v>1</v>
      </c>
      <c r="AA4" s="443" t="s">
        <v>2</v>
      </c>
      <c r="AB4" s="443"/>
    </row>
    <row r="5" spans="1:28" ht="13.8">
      <c r="A5" s="442"/>
      <c r="C5" s="442"/>
      <c r="D5" s="445" t="s">
        <v>123</v>
      </c>
      <c r="V5" s="442"/>
      <c r="X5" s="442"/>
      <c r="Y5" s="443"/>
      <c r="Z5" s="443">
        <v>0</v>
      </c>
      <c r="AA5" s="443">
        <v>8</v>
      </c>
      <c r="AB5" s="443"/>
    </row>
    <row r="6" spans="1:28" ht="18">
      <c r="A6" s="442"/>
      <c r="C6" s="442"/>
      <c r="D6" s="445" t="s">
        <v>124</v>
      </c>
      <c r="M6" s="444"/>
      <c r="V6" s="442"/>
      <c r="X6" s="442"/>
      <c r="Y6" s="443"/>
      <c r="Z6" s="443"/>
      <c r="AA6" s="443"/>
      <c r="AB6" s="443"/>
    </row>
    <row r="7" spans="1:28" ht="18">
      <c r="A7" s="442"/>
      <c r="C7" s="442"/>
      <c r="G7" s="439" t="s">
        <v>125</v>
      </c>
      <c r="M7" s="438" t="s">
        <v>122</v>
      </c>
      <c r="O7" s="444"/>
      <c r="V7" s="442"/>
      <c r="X7" s="442"/>
      <c r="Y7" s="443"/>
      <c r="Z7" s="443"/>
      <c r="AA7" s="443"/>
      <c r="AB7" s="443"/>
    </row>
    <row r="8" spans="1:28" ht="19.5" customHeight="1">
      <c r="A8" s="442"/>
      <c r="C8" s="442"/>
      <c r="M8" s="438" t="s">
        <v>127</v>
      </c>
      <c r="Q8" s="439" t="s">
        <v>128</v>
      </c>
      <c r="V8" s="442"/>
      <c r="X8" s="442"/>
      <c r="Y8" s="443"/>
      <c r="Z8" s="443">
        <v>16</v>
      </c>
      <c r="AA8" s="443">
        <v>0</v>
      </c>
      <c r="AB8" s="443"/>
    </row>
    <row r="9" spans="1:28" ht="15.75" customHeight="1">
      <c r="A9" s="442"/>
      <c r="C9" s="442"/>
      <c r="M9" s="438" t="s">
        <v>161</v>
      </c>
      <c r="P9" s="438"/>
      <c r="V9" s="442"/>
      <c r="X9" s="442"/>
      <c r="Y9" s="443"/>
      <c r="Z9" s="443"/>
      <c r="AA9" s="443"/>
      <c r="AB9" s="443"/>
    </row>
    <row r="10" spans="1:28">
      <c r="A10" s="442"/>
      <c r="C10" s="442"/>
      <c r="L10" s="448" t="s">
        <v>133</v>
      </c>
      <c r="M10" s="438" t="s">
        <v>130</v>
      </c>
      <c r="V10" s="442"/>
      <c r="X10" s="442"/>
      <c r="Y10" s="442"/>
      <c r="Z10" s="442"/>
      <c r="AA10" s="442"/>
      <c r="AB10" s="442"/>
    </row>
    <row r="11" spans="1:28">
      <c r="A11" s="442"/>
      <c r="C11" s="442"/>
      <c r="M11" s="438" t="s">
        <v>129</v>
      </c>
      <c r="N11" s="438"/>
      <c r="V11" s="442"/>
      <c r="X11" s="442"/>
      <c r="Y11" s="442"/>
      <c r="Z11" s="442"/>
      <c r="AA11" s="442"/>
      <c r="AB11" s="442"/>
    </row>
    <row r="12" spans="1:28">
      <c r="A12" s="442"/>
      <c r="C12" s="442"/>
      <c r="V12" s="442"/>
      <c r="X12" s="442"/>
      <c r="Y12" s="442"/>
      <c r="Z12" s="442"/>
      <c r="AA12" s="442"/>
      <c r="AB12" s="442"/>
    </row>
    <row r="13" spans="1:28" ht="15">
      <c r="A13" s="442"/>
      <c r="C13" s="442"/>
      <c r="M13" s="797" t="s">
        <v>52</v>
      </c>
      <c r="N13" s="446" t="s">
        <v>131</v>
      </c>
      <c r="O13" s="798" t="s">
        <v>8</v>
      </c>
      <c r="P13" s="446">
        <v>8</v>
      </c>
      <c r="Q13" s="798" t="s">
        <v>8</v>
      </c>
      <c r="R13" s="800">
        <f>P13/P14</f>
        <v>-0.5</v>
      </c>
      <c r="V13" s="442"/>
      <c r="X13" s="442"/>
      <c r="Y13" s="442"/>
      <c r="Z13" s="442"/>
      <c r="AA13" s="442"/>
      <c r="AB13" s="442"/>
    </row>
    <row r="14" spans="1:28" ht="15">
      <c r="A14" s="442"/>
      <c r="C14" s="442"/>
      <c r="M14" s="797"/>
      <c r="N14" s="447" t="s">
        <v>132</v>
      </c>
      <c r="O14" s="799"/>
      <c r="P14" s="447">
        <v>-16</v>
      </c>
      <c r="Q14" s="799"/>
      <c r="R14" s="800"/>
      <c r="V14" s="442"/>
      <c r="X14" s="442"/>
      <c r="Y14" s="442"/>
      <c r="Z14" s="442"/>
      <c r="AA14" s="442"/>
      <c r="AB14" s="442"/>
    </row>
    <row r="15" spans="1:28" ht="15.6">
      <c r="A15" s="442"/>
      <c r="C15" s="442"/>
      <c r="I15" s="439" t="s">
        <v>126</v>
      </c>
      <c r="M15" s="438" t="s">
        <v>135</v>
      </c>
      <c r="R15" s="449">
        <f>R13</f>
        <v>-0.5</v>
      </c>
      <c r="S15" s="438" t="s">
        <v>136</v>
      </c>
      <c r="V15" s="442"/>
      <c r="X15" s="442"/>
      <c r="Y15" s="442"/>
      <c r="Z15" s="442"/>
      <c r="AA15" s="442"/>
      <c r="AB15" s="442"/>
    </row>
    <row r="16" spans="1:28">
      <c r="A16" s="442"/>
      <c r="C16" s="442"/>
      <c r="L16" s="448"/>
      <c r="V16" s="442"/>
      <c r="X16" s="442"/>
      <c r="Y16" s="442"/>
      <c r="Z16" s="442"/>
      <c r="AA16" s="442"/>
      <c r="AB16" s="442"/>
    </row>
    <row r="17" spans="1:28" ht="12.75" customHeight="1">
      <c r="A17" s="442"/>
      <c r="C17" s="442"/>
      <c r="M17" s="438" t="s">
        <v>191</v>
      </c>
      <c r="V17" s="442"/>
      <c r="X17" s="442"/>
      <c r="Y17" s="442"/>
      <c r="Z17" s="442"/>
      <c r="AA17" s="442"/>
      <c r="AB17" s="442"/>
    </row>
    <row r="18" spans="1:28" ht="16.5" customHeight="1">
      <c r="A18" s="442"/>
      <c r="C18" s="442"/>
      <c r="V18" s="442"/>
      <c r="X18" s="442"/>
      <c r="Y18" s="442"/>
      <c r="Z18" s="442"/>
      <c r="AA18" s="442"/>
      <c r="AB18" s="442"/>
    </row>
    <row r="19" spans="1:28" ht="15.6">
      <c r="A19" s="442"/>
      <c r="C19" s="442"/>
      <c r="M19" s="450" t="s">
        <v>137</v>
      </c>
      <c r="V19" s="442"/>
      <c r="X19" s="442"/>
      <c r="Y19" s="442"/>
      <c r="Z19" s="442"/>
      <c r="AA19" s="442"/>
      <c r="AB19" s="442"/>
    </row>
    <row r="20" spans="1:28" ht="15">
      <c r="A20" s="442"/>
      <c r="C20" s="442"/>
      <c r="M20" s="439"/>
      <c r="V20" s="442"/>
      <c r="X20" s="442"/>
      <c r="Y20" s="442"/>
      <c r="Z20" s="442"/>
      <c r="AA20" s="442"/>
      <c r="AB20" s="442"/>
    </row>
    <row r="21" spans="1:28" ht="15.6">
      <c r="A21" s="442"/>
      <c r="C21" s="442"/>
      <c r="M21" s="451" t="s">
        <v>138</v>
      </c>
      <c r="N21" s="452"/>
      <c r="O21" s="439" t="s">
        <v>134</v>
      </c>
      <c r="P21" s="456" t="s">
        <v>140</v>
      </c>
      <c r="Q21" s="457"/>
      <c r="V21" s="442"/>
      <c r="X21" s="442"/>
      <c r="Y21" s="442"/>
      <c r="Z21" s="442"/>
      <c r="AA21" s="442"/>
      <c r="AB21" s="442"/>
    </row>
    <row r="22" spans="1:28" ht="15.6">
      <c r="A22" s="442"/>
      <c r="C22" s="442"/>
      <c r="M22" s="455" t="s">
        <v>139</v>
      </c>
      <c r="N22" s="453"/>
      <c r="P22" s="458" t="s">
        <v>141</v>
      </c>
      <c r="Q22" s="459" t="s">
        <v>142</v>
      </c>
      <c r="V22" s="442"/>
      <c r="X22" s="442"/>
      <c r="Y22" s="442"/>
      <c r="Z22" s="442"/>
      <c r="AA22" s="442"/>
      <c r="AB22" s="442"/>
    </row>
    <row r="23" spans="1:28" ht="15.6">
      <c r="A23" s="442"/>
      <c r="C23" s="442"/>
      <c r="M23" s="463" t="s">
        <v>143</v>
      </c>
      <c r="N23" s="454"/>
      <c r="O23" s="439"/>
      <c r="P23" s="460" t="s">
        <v>141</v>
      </c>
      <c r="Q23" s="461">
        <v>16</v>
      </c>
      <c r="V23" s="442"/>
      <c r="X23" s="442"/>
      <c r="Y23" s="442"/>
      <c r="Z23" s="442"/>
      <c r="AA23" s="442"/>
      <c r="AB23" s="442"/>
    </row>
    <row r="24" spans="1:28">
      <c r="A24" s="442"/>
      <c r="C24" s="442"/>
      <c r="M24" s="462"/>
      <c r="N24" s="462"/>
      <c r="V24" s="442"/>
      <c r="X24" s="442"/>
      <c r="Y24" s="442"/>
      <c r="Z24" s="442"/>
      <c r="AA24" s="442"/>
      <c r="AB24" s="442"/>
    </row>
    <row r="25" spans="1:28" ht="20.399999999999999">
      <c r="A25" s="442"/>
      <c r="C25" s="442"/>
      <c r="K25" s="440"/>
      <c r="M25" s="441" t="s">
        <v>144</v>
      </c>
      <c r="V25" s="442"/>
      <c r="X25" s="442"/>
      <c r="Y25" s="442"/>
      <c r="Z25" s="442"/>
      <c r="AA25" s="442"/>
      <c r="AB25" s="442"/>
    </row>
    <row r="26" spans="1:28">
      <c r="A26" s="442"/>
      <c r="C26" s="442"/>
      <c r="V26" s="442"/>
      <c r="X26" s="442"/>
      <c r="Y26" s="442"/>
      <c r="Z26" s="442"/>
      <c r="AA26" s="442"/>
      <c r="AB26" s="442"/>
    </row>
    <row r="27" spans="1:28">
      <c r="A27" s="442"/>
      <c r="C27" s="442"/>
      <c r="V27" s="442"/>
      <c r="X27" s="442"/>
      <c r="Y27" s="442"/>
      <c r="Z27" s="442"/>
      <c r="AA27" s="442"/>
      <c r="AB27" s="442"/>
    </row>
    <row r="28" spans="1:28">
      <c r="A28" s="442"/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X28" s="442"/>
      <c r="Y28" s="442"/>
      <c r="Z28" s="442"/>
      <c r="AA28" s="442"/>
      <c r="AB28" s="442"/>
    </row>
    <row r="29" spans="1:28">
      <c r="A29" s="442"/>
      <c r="X29" s="442"/>
      <c r="Y29" s="442"/>
      <c r="Z29" s="442"/>
      <c r="AA29" s="442"/>
      <c r="AB29" s="442"/>
    </row>
    <row r="30" spans="1:28">
      <c r="A30" s="442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42"/>
      <c r="Y30" s="442"/>
      <c r="Z30" s="442"/>
      <c r="AA30" s="442"/>
      <c r="AB30" s="442"/>
    </row>
    <row r="31" spans="1:28">
      <c r="A31" s="442"/>
      <c r="B31" s="442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2"/>
      <c r="U31" s="442"/>
      <c r="V31" s="442"/>
      <c r="W31" s="442"/>
      <c r="X31" s="442"/>
      <c r="Y31" s="442"/>
      <c r="Z31" s="442"/>
      <c r="AA31" s="442"/>
      <c r="AB31" s="442"/>
    </row>
    <row r="32" spans="1:28">
      <c r="A32" s="442"/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442"/>
      <c r="Y32" s="442"/>
      <c r="Z32" s="442"/>
      <c r="AA32" s="442"/>
      <c r="AB32" s="442"/>
    </row>
    <row r="33" spans="1:28">
      <c r="A33" s="442"/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</row>
    <row r="34" spans="1:28">
      <c r="A34" s="442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</row>
    <row r="35" spans="1:28">
      <c r="A35" s="442"/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</row>
    <row r="36" spans="1:28">
      <c r="A36" s="442"/>
      <c r="B36" s="442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</row>
    <row r="37" spans="1:28">
      <c r="A37" s="442"/>
      <c r="B37" s="44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</row>
    <row r="38" spans="1:28">
      <c r="A38" s="442"/>
      <c r="B38" s="44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</row>
  </sheetData>
  <mergeCells count="4">
    <mergeCell ref="M13:M14"/>
    <mergeCell ref="O13:O14"/>
    <mergeCell ref="Q13:Q14"/>
    <mergeCell ref="R13:R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Início</vt:lpstr>
      <vt:lpstr>Função de 1º Grau1</vt:lpstr>
      <vt:lpstr>Tabela e Gráfico</vt:lpstr>
      <vt:lpstr>Taxa1</vt:lpstr>
      <vt:lpstr>Taxa de Var02</vt:lpstr>
      <vt:lpstr>Taxa de Var1</vt:lpstr>
      <vt:lpstr>Taxa de Var3</vt:lpstr>
      <vt:lpstr>TeG</vt:lpstr>
      <vt:lpstr>Equação da função reta01</vt:lpstr>
      <vt:lpstr>Equação da Reta1</vt:lpstr>
      <vt:lpstr>EquaçãoReta2</vt:lpstr>
      <vt:lpstr>Função de 1º Grau2</vt:lpstr>
      <vt:lpstr>Exerc 1a 6</vt:lpstr>
      <vt:lpstr>Função quadrática</vt:lpstr>
      <vt:lpstr>Exer7 a 11</vt:lpstr>
      <vt:lpstr>Autoria</vt:lpstr>
      <vt:lpstr>FIM</vt:lpstr>
      <vt:lpstr>Plan2</vt:lpstr>
      <vt:lpstr>Plan3</vt:lpstr>
      <vt:lpstr>Plan5</vt:lpstr>
      <vt:lpstr>Plan4</vt:lpstr>
      <vt:lpstr>Gerador</vt:lpstr>
      <vt:lpstr>'Exer7 a 11'!_GoBack</vt:lpstr>
    </vt:vector>
  </TitlesOfParts>
  <Company>Leticia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User</cp:lastModifiedBy>
  <cp:lastPrinted>2010-08-09T19:46:42Z</cp:lastPrinted>
  <dcterms:created xsi:type="dcterms:W3CDTF">2010-08-09T19:37:24Z</dcterms:created>
  <dcterms:modified xsi:type="dcterms:W3CDTF">2019-10-15T20:46:01Z</dcterms:modified>
</cp:coreProperties>
</file>