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328\Desktop\ESTAT\"/>
    </mc:Choice>
  </mc:AlternateContent>
  <xr:revisionPtr revIDLastSave="0" documentId="13_ncr:1_{6661BBE3-598C-4978-B090-031DAE700903}" xr6:coauthVersionLast="47" xr6:coauthVersionMax="47" xr10:uidLastSave="{00000000-0000-0000-0000-000000000000}"/>
  <bookViews>
    <workbookView xWindow="-120" yWindow="-120" windowWidth="20730" windowHeight="11160" tabRatio="986" xr2:uid="{00000000-000D-0000-FFFF-FFFF00000000}"/>
  </bookViews>
  <sheets>
    <sheet name="Imagem" sheetId="15" r:id="rId1"/>
    <sheet name="Inicio" sheetId="8" r:id="rId2"/>
    <sheet name="Exer1_Média" sheetId="11" r:id="rId3"/>
    <sheet name="Exer2_média" sheetId="10" r:id="rId4"/>
    <sheet name="Explica_Mediana1" sheetId="2" r:id="rId5"/>
    <sheet name="Explica Mediana2" sheetId="5" r:id="rId6"/>
    <sheet name="Exer1_mediana" sheetId="1" r:id="rId7"/>
    <sheet name="Exer2_mediana_" sheetId="6" r:id="rId8"/>
    <sheet name="Desvio P" sheetId="16" r:id="rId9"/>
    <sheet name="FIM" sheetId="14" r:id="rId10"/>
    <sheet name="Plan1" sheetId="9" r:id="rId11"/>
    <sheet name="plan 2" sheetId="7" r:id="rId12"/>
    <sheet name="Plan3" sheetId="12" r:id="rId13"/>
    <sheet name="Plan4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16" l="1"/>
  <c r="T29" i="16"/>
  <c r="E29" i="16"/>
  <c r="T28" i="16"/>
  <c r="P28" i="16"/>
  <c r="N28" i="16"/>
  <c r="E28" i="16"/>
  <c r="E27" i="16"/>
  <c r="G26" i="16"/>
  <c r="E26" i="16"/>
  <c r="J26" i="16" s="1"/>
  <c r="G25" i="16"/>
  <c r="E25" i="16"/>
  <c r="J25" i="16" s="1"/>
  <c r="G24" i="16"/>
  <c r="E24" i="16"/>
  <c r="J24" i="16" s="1"/>
  <c r="G23" i="16"/>
  <c r="E23" i="16"/>
  <c r="J23" i="16" s="1"/>
  <c r="G22" i="16"/>
  <c r="E22" i="16"/>
  <c r="J22" i="16" s="1"/>
  <c r="G21" i="16"/>
  <c r="F21" i="16"/>
  <c r="E21" i="16"/>
  <c r="J21" i="16" s="1"/>
  <c r="O18" i="16"/>
  <c r="L18" i="16"/>
  <c r="E18" i="16"/>
  <c r="K18" i="16" s="1"/>
  <c r="E17" i="16"/>
  <c r="K17" i="16" s="1"/>
  <c r="N15" i="16"/>
  <c r="E14" i="16"/>
  <c r="F13" i="16"/>
  <c r="E13" i="16"/>
  <c r="J16" i="16" s="1"/>
  <c r="M19" i="16" s="1"/>
  <c r="F12" i="16"/>
  <c r="F11" i="16"/>
  <c r="F10" i="16"/>
  <c r="F9" i="16"/>
  <c r="E9" i="16"/>
  <c r="E10" i="16" s="1"/>
  <c r="E11" i="16" s="1"/>
  <c r="E12" i="16" s="1"/>
  <c r="J8" i="16"/>
  <c r="F8" i="16"/>
  <c r="E8" i="16"/>
  <c r="S7" i="16"/>
  <c r="J7" i="16"/>
  <c r="F7" i="16"/>
  <c r="E7" i="16"/>
  <c r="S6" i="16"/>
  <c r="E6" i="16"/>
  <c r="S5" i="16"/>
  <c r="N5" i="16"/>
  <c r="L5" i="16"/>
  <c r="AO1" i="16"/>
  <c r="G8" i="2"/>
  <c r="J8" i="2" s="1"/>
  <c r="L11" i="2"/>
  <c r="L17" i="2"/>
  <c r="K22" i="6"/>
  <c r="K14" i="6"/>
  <c r="F8" i="1"/>
  <c r="G21" i="1"/>
  <c r="G10" i="1"/>
  <c r="G11" i="1"/>
  <c r="G12" i="1"/>
  <c r="G13" i="1"/>
  <c r="G14" i="1"/>
  <c r="G15" i="1"/>
  <c r="G16" i="1"/>
  <c r="G17" i="1"/>
  <c r="G18" i="1"/>
  <c r="G19" i="1"/>
  <c r="G20" i="1"/>
  <c r="G9" i="1"/>
  <c r="J20" i="1"/>
  <c r="J19" i="1"/>
  <c r="J18" i="1"/>
  <c r="J17" i="1"/>
  <c r="J16" i="1"/>
  <c r="J15" i="1"/>
  <c r="J14" i="1"/>
  <c r="J13" i="1"/>
  <c r="J12" i="1"/>
  <c r="J11" i="1"/>
  <c r="J10" i="1"/>
  <c r="J9" i="1"/>
  <c r="P2" i="1"/>
  <c r="O2" i="1"/>
  <c r="N2" i="1"/>
  <c r="M2" i="1"/>
  <c r="L2" i="1"/>
  <c r="K2" i="1"/>
  <c r="J2" i="1"/>
  <c r="I2" i="1"/>
  <c r="H2" i="1"/>
  <c r="G2" i="1"/>
  <c r="F2" i="1"/>
  <c r="D2" i="1"/>
  <c r="E2" i="1"/>
  <c r="K20" i="10"/>
  <c r="C4" i="10"/>
  <c r="K2" i="2"/>
  <c r="F8" i="2"/>
  <c r="H2" i="2"/>
  <c r="I2" i="2"/>
  <c r="J2" i="2"/>
  <c r="L2" i="2"/>
  <c r="M2" i="2"/>
  <c r="N2" i="2"/>
  <c r="O2" i="2"/>
  <c r="P2" i="2"/>
  <c r="G2" i="2"/>
  <c r="E2" i="2"/>
  <c r="F2" i="2"/>
  <c r="D2" i="2"/>
  <c r="K15" i="10"/>
  <c r="K5" i="10"/>
  <c r="K7" i="10"/>
  <c r="K11" i="10"/>
  <c r="K13" i="10"/>
  <c r="G10" i="11"/>
  <c r="G8" i="11"/>
  <c r="G6" i="11"/>
  <c r="C3" i="10"/>
  <c r="G12" i="11"/>
  <c r="G9" i="11"/>
  <c r="H9" i="11" s="1"/>
  <c r="B14" i="8"/>
  <c r="C3" i="11"/>
  <c r="G14" i="11"/>
  <c r="C2" i="11"/>
  <c r="G9" i="10"/>
  <c r="G21" i="11"/>
  <c r="G16" i="11"/>
  <c r="I13" i="10"/>
  <c r="I17" i="10"/>
  <c r="I21" i="10"/>
  <c r="I25" i="10"/>
  <c r="I26" i="10"/>
  <c r="G13" i="10"/>
  <c r="G14" i="10"/>
  <c r="G21" i="10"/>
  <c r="G25" i="10"/>
  <c r="G26" i="10"/>
  <c r="H25" i="11"/>
  <c r="H20" i="11"/>
  <c r="H11" i="11"/>
  <c r="K9" i="10"/>
  <c r="L10" i="10"/>
  <c r="Q3" i="9"/>
  <c r="R3" i="9" s="1"/>
  <c r="C6" i="7"/>
  <c r="D11" i="9"/>
  <c r="D18" i="9"/>
  <c r="D12" i="9"/>
  <c r="D19" i="9"/>
  <c r="D15" i="9"/>
  <c r="D22" i="9"/>
  <c r="D20" i="9"/>
  <c r="D10" i="9"/>
  <c r="D17" i="9"/>
  <c r="D13" i="9"/>
  <c r="D14" i="9"/>
  <c r="D21" i="9"/>
  <c r="D24" i="9"/>
  <c r="L14" i="1"/>
  <c r="R5" i="11"/>
  <c r="T5" i="11" s="1"/>
  <c r="R6" i="11" s="1"/>
  <c r="D7" i="7"/>
  <c r="L8" i="10"/>
  <c r="V3" i="10"/>
  <c r="L12" i="1"/>
  <c r="K21" i="1"/>
  <c r="D26" i="7"/>
  <c r="B6" i="7"/>
  <c r="B25" i="7" s="1"/>
  <c r="D25" i="7"/>
  <c r="N5" i="7"/>
  <c r="N4" i="7"/>
  <c r="N6" i="7"/>
  <c r="G4" i="7"/>
  <c r="Q6" i="9"/>
  <c r="B6" i="9"/>
  <c r="B7" i="9" s="1"/>
  <c r="B8" i="9" s="1"/>
  <c r="B9" i="9" s="1"/>
  <c r="G4" i="9"/>
  <c r="S1" i="9"/>
  <c r="Q1" i="9"/>
  <c r="R1" i="9" s="1"/>
  <c r="Q6" i="7"/>
  <c r="Q3" i="7"/>
  <c r="R3" i="7" s="1"/>
  <c r="S1" i="7"/>
  <c r="Q1" i="7"/>
  <c r="R1" i="7" s="1"/>
  <c r="S5" i="9"/>
  <c r="C2" i="2"/>
  <c r="D17" i="7"/>
  <c r="D13" i="7"/>
  <c r="D22" i="7"/>
  <c r="D15" i="7"/>
  <c r="D20" i="7"/>
  <c r="D24" i="7"/>
  <c r="D16" i="7"/>
  <c r="D23" i="7"/>
  <c r="D19" i="7"/>
  <c r="G5" i="7"/>
  <c r="D14" i="7"/>
  <c r="D9" i="7"/>
  <c r="D18" i="7"/>
  <c r="D21" i="7"/>
  <c r="L16" i="10"/>
  <c r="C8" i="7"/>
  <c r="D10" i="7"/>
  <c r="D12" i="7"/>
  <c r="D11" i="7"/>
  <c r="E3" i="7"/>
  <c r="H13" i="11"/>
  <c r="L6" i="10"/>
  <c r="L21" i="10"/>
  <c r="L12" i="10"/>
  <c r="L19" i="10"/>
  <c r="C7" i="7"/>
  <c r="D16" i="9"/>
  <c r="D23" i="9"/>
  <c r="H15" i="11"/>
  <c r="L26" i="10"/>
  <c r="H22" i="11"/>
  <c r="G12" i="10"/>
  <c r="G16" i="10"/>
  <c r="G20" i="10"/>
  <c r="G24" i="10"/>
  <c r="G28" i="10"/>
  <c r="G17" i="10"/>
  <c r="G18" i="10"/>
  <c r="G22" i="10"/>
  <c r="G15" i="10"/>
  <c r="G19" i="10"/>
  <c r="G23" i="10"/>
  <c r="G27" i="10"/>
  <c r="L14" i="10"/>
  <c r="L24" i="10"/>
  <c r="E1" i="7"/>
  <c r="E2" i="7"/>
  <c r="D6" i="7" s="1"/>
  <c r="I18" i="10"/>
  <c r="I22" i="10"/>
  <c r="I15" i="10"/>
  <c r="I19" i="10"/>
  <c r="I23" i="10"/>
  <c r="I27" i="10"/>
  <c r="I16" i="10"/>
  <c r="I20" i="10"/>
  <c r="I24" i="10"/>
  <c r="I28" i="10"/>
  <c r="I14" i="10"/>
  <c r="I12" i="10"/>
  <c r="G5" i="9"/>
  <c r="E3" i="9"/>
  <c r="E1" i="9"/>
  <c r="E2" i="9"/>
  <c r="D7" i="9" s="1"/>
  <c r="C8" i="9"/>
  <c r="C6" i="9"/>
  <c r="C7" i="9"/>
  <c r="J19" i="16" l="1"/>
  <c r="J18" i="16"/>
  <c r="J9" i="16"/>
  <c r="O28" i="16"/>
  <c r="D9" i="1" a="1"/>
  <c r="D20" i="1" s="1"/>
  <c r="U4" i="10"/>
  <c r="W4" i="10" s="1"/>
  <c r="D24" i="10" s="1"/>
  <c r="E24" i="10" s="1"/>
  <c r="D9" i="2" a="1"/>
  <c r="D16" i="2" s="1"/>
  <c r="B17" i="7"/>
  <c r="B18" i="7"/>
  <c r="B24" i="7"/>
  <c r="B22" i="7"/>
  <c r="B14" i="7"/>
  <c r="B7" i="7"/>
  <c r="B15" i="7"/>
  <c r="B19" i="7"/>
  <c r="D6" i="9"/>
  <c r="B23" i="7"/>
  <c r="B8" i="7"/>
  <c r="B21" i="7"/>
  <c r="B9" i="7"/>
  <c r="B10" i="7"/>
  <c r="B16" i="7"/>
  <c r="B20" i="7"/>
  <c r="S5" i="11"/>
  <c r="B13" i="7"/>
  <c r="Q5" i="9"/>
  <c r="R5" i="9"/>
  <c r="T5" i="9"/>
  <c r="C9" i="9"/>
  <c r="D9" i="9" s="1"/>
  <c r="B10" i="9"/>
  <c r="B11" i="9" s="1"/>
  <c r="B12" i="9" s="1"/>
  <c r="B13" i="9" s="1"/>
  <c r="B14" i="9" s="1"/>
  <c r="B15" i="9" s="1"/>
  <c r="B16" i="9" s="1"/>
  <c r="B17" i="9" s="1"/>
  <c r="D8" i="9"/>
  <c r="D7" i="11"/>
  <c r="E7" i="11" s="1"/>
  <c r="T6" i="11"/>
  <c r="Q5" i="7"/>
  <c r="T5" i="7"/>
  <c r="S5" i="7"/>
  <c r="F22" i="16" l="1"/>
  <c r="J10" i="16"/>
  <c r="D12" i="1"/>
  <c r="D17" i="1"/>
  <c r="D16" i="1"/>
  <c r="D9" i="1"/>
  <c r="D11" i="1"/>
  <c r="D14" i="1"/>
  <c r="D19" i="1"/>
  <c r="D15" i="1"/>
  <c r="D18" i="1"/>
  <c r="D13" i="1"/>
  <c r="D21" i="1"/>
  <c r="D10" i="1"/>
  <c r="D9" i="10"/>
  <c r="D14" i="10"/>
  <c r="E14" i="10" s="1"/>
  <c r="D10" i="10"/>
  <c r="G9" i="2"/>
  <c r="J9" i="2" s="1"/>
  <c r="D10" i="2"/>
  <c r="G16" i="2" s="1"/>
  <c r="J16" i="2" s="1"/>
  <c r="D11" i="2"/>
  <c r="D14" i="2"/>
  <c r="G13" i="2" s="1"/>
  <c r="J13" i="2" s="1"/>
  <c r="D12" i="2"/>
  <c r="G11" i="2" s="1"/>
  <c r="J11" i="2" s="1"/>
  <c r="D9" i="2"/>
  <c r="G15" i="2" s="1"/>
  <c r="J15" i="2" s="1"/>
  <c r="D13" i="2"/>
  <c r="G17" i="2" s="1"/>
  <c r="J17" i="2" s="1"/>
  <c r="D20" i="2"/>
  <c r="G20" i="2" s="1"/>
  <c r="J20" i="2" s="1"/>
  <c r="D19" i="2"/>
  <c r="G19" i="2" s="1"/>
  <c r="J19" i="2" s="1"/>
  <c r="D21" i="2"/>
  <c r="D15" i="2"/>
  <c r="G18" i="2" s="1"/>
  <c r="J18" i="2" s="1"/>
  <c r="D18" i="2"/>
  <c r="G14" i="2" s="1"/>
  <c r="J14" i="2" s="1"/>
  <c r="D17" i="2"/>
  <c r="G10" i="2" s="1"/>
  <c r="J10" i="2" s="1"/>
  <c r="D23" i="10"/>
  <c r="E23" i="10" s="1"/>
  <c r="D16" i="10"/>
  <c r="E16" i="10" s="1"/>
  <c r="D21" i="10"/>
  <c r="E21" i="10" s="1"/>
  <c r="D17" i="10"/>
  <c r="E17" i="10" s="1"/>
  <c r="D22" i="10"/>
  <c r="E22" i="10" s="1"/>
  <c r="D25" i="10"/>
  <c r="E25" i="10" s="1"/>
  <c r="D28" i="10"/>
  <c r="E28" i="10" s="1"/>
  <c r="D27" i="10"/>
  <c r="E27" i="10" s="1"/>
  <c r="D11" i="10"/>
  <c r="D15" i="10"/>
  <c r="E15" i="10" s="1"/>
  <c r="D12" i="10"/>
  <c r="E12" i="10" s="1"/>
  <c r="D18" i="10"/>
  <c r="E18" i="10" s="1"/>
  <c r="D20" i="10"/>
  <c r="E20" i="10" s="1"/>
  <c r="D26" i="10"/>
  <c r="E26" i="10" s="1"/>
  <c r="D19" i="10"/>
  <c r="E19" i="10" s="1"/>
  <c r="D13" i="10"/>
  <c r="E13" i="10" s="1"/>
  <c r="B11" i="7"/>
  <c r="B12" i="7"/>
  <c r="A2" i="9"/>
  <c r="B19" i="9"/>
  <c r="B20" i="9" s="1"/>
  <c r="B21" i="9" s="1"/>
  <c r="B22" i="9" s="1"/>
  <c r="B23" i="9" s="1"/>
  <c r="B24" i="9" s="1"/>
  <c r="B18" i="9"/>
  <c r="D26" i="11"/>
  <c r="E26" i="11" s="1"/>
  <c r="D24" i="11"/>
  <c r="E24" i="11" s="1"/>
  <c r="D25" i="11"/>
  <c r="E25" i="11" s="1"/>
  <c r="D8" i="11"/>
  <c r="E8" i="11" s="1"/>
  <c r="D23" i="11"/>
  <c r="E23" i="11" s="1"/>
  <c r="D11" i="11"/>
  <c r="E11" i="11" s="1"/>
  <c r="D9" i="11"/>
  <c r="E9" i="11" s="1"/>
  <c r="D16" i="11"/>
  <c r="E16" i="11" s="1"/>
  <c r="D22" i="11"/>
  <c r="E22" i="11" s="1"/>
  <c r="D21" i="11"/>
  <c r="E21" i="11" s="1"/>
  <c r="D15" i="11"/>
  <c r="E15" i="11" s="1"/>
  <c r="D10" i="11"/>
  <c r="E10" i="11" s="1"/>
  <c r="D20" i="11"/>
  <c r="E20" i="11" s="1"/>
  <c r="D17" i="11"/>
  <c r="E17" i="11" s="1"/>
  <c r="D18" i="11"/>
  <c r="E18" i="11" s="1"/>
  <c r="D14" i="11"/>
  <c r="E14" i="11" s="1"/>
  <c r="D19" i="11"/>
  <c r="E19" i="11" s="1"/>
  <c r="D12" i="11"/>
  <c r="E12" i="11" s="1"/>
  <c r="D13" i="11"/>
  <c r="E13" i="11" s="1"/>
  <c r="A2" i="7"/>
  <c r="F23" i="16" l="1"/>
  <c r="J11" i="16"/>
  <c r="F24" i="16" s="1"/>
  <c r="J12" i="16"/>
  <c r="V13" i="10"/>
  <c r="F10" i="10"/>
  <c r="G12" i="2"/>
  <c r="J12" i="2" s="1"/>
  <c r="L14" i="2"/>
  <c r="G21" i="2"/>
  <c r="D24" i="2" a="1"/>
  <c r="N3" i="7"/>
  <c r="D8" i="7" s="1"/>
  <c r="I3" i="10"/>
  <c r="D29" i="10"/>
  <c r="E9" i="10"/>
  <c r="F9" i="10"/>
  <c r="D31" i="10"/>
  <c r="F11" i="10" s="1"/>
  <c r="G11" i="10" s="1"/>
  <c r="B25" i="9"/>
  <c r="E11" i="10"/>
  <c r="E10" i="10"/>
  <c r="H9" i="10" s="1"/>
  <c r="B26" i="7"/>
  <c r="N1" i="7"/>
  <c r="B26" i="9"/>
  <c r="N3" i="9"/>
  <c r="C34" i="11"/>
  <c r="N1" i="9"/>
  <c r="E27" i="11"/>
  <c r="D27" i="11"/>
  <c r="G7" i="11" s="1"/>
  <c r="H7" i="11" s="1"/>
  <c r="S8" i="11"/>
  <c r="H17" i="11"/>
  <c r="J13" i="16" l="1"/>
  <c r="F26" i="16" s="1"/>
  <c r="F25" i="16"/>
  <c r="D24" i="2"/>
  <c r="F25" i="2"/>
  <c r="Q25" i="2"/>
  <c r="R24" i="2"/>
  <c r="T25" i="2"/>
  <c r="D25" i="2"/>
  <c r="E24" i="2"/>
  <c r="K25" i="2"/>
  <c r="K27" i="2" s="1"/>
  <c r="L24" i="2"/>
  <c r="R25" i="2"/>
  <c r="S24" i="2"/>
  <c r="M25" i="2"/>
  <c r="N24" i="2"/>
  <c r="P25" i="2"/>
  <c r="Q24" i="2"/>
  <c r="K24" i="2"/>
  <c r="G25" i="2"/>
  <c r="H24" i="2"/>
  <c r="N25" i="2"/>
  <c r="O24" i="2"/>
  <c r="I25" i="2"/>
  <c r="J24" i="2"/>
  <c r="L25" i="2"/>
  <c r="M24" i="2"/>
  <c r="S25" i="2"/>
  <c r="T24" i="2"/>
  <c r="J25" i="2"/>
  <c r="J27" i="2" s="1"/>
  <c r="G24" i="2"/>
  <c r="E25" i="2"/>
  <c r="F24" i="2"/>
  <c r="H25" i="2"/>
  <c r="I24" i="2"/>
  <c r="O25" i="2"/>
  <c r="P24" i="2"/>
  <c r="G10" i="10"/>
  <c r="I4" i="10"/>
  <c r="H10" i="10" s="1"/>
  <c r="I10" i="10" s="1"/>
  <c r="E29" i="10"/>
  <c r="E31" i="10"/>
  <c r="H11" i="10" s="1"/>
  <c r="J14" i="16" l="1"/>
  <c r="I11" i="10"/>
  <c r="P18" i="16" l="1"/>
  <c r="E16" i="16"/>
  <c r="I17" i="16"/>
  <c r="O17" i="16" s="1"/>
  <c r="M18" i="16"/>
  <c r="H24" i="16" l="1"/>
  <c r="S18" i="16"/>
  <c r="H25" i="16"/>
  <c r="E20" i="16"/>
  <c r="H23" i="16"/>
  <c r="H26" i="16"/>
  <c r="H21" i="16"/>
  <c r="H22" i="16"/>
  <c r="K26" i="16" l="1"/>
  <c r="O26" i="16"/>
  <c r="O23" i="16"/>
  <c r="K23" i="16"/>
  <c r="O24" i="16"/>
  <c r="K24" i="16"/>
  <c r="K22" i="16"/>
  <c r="O22" i="16"/>
  <c r="K21" i="16"/>
  <c r="O21" i="16"/>
  <c r="O27" i="16" s="1"/>
  <c r="M28" i="16" s="1"/>
  <c r="Q28" i="16" s="1"/>
  <c r="AA29" i="16" s="1"/>
  <c r="AD29" i="16" s="1"/>
  <c r="AA30" i="16" s="1"/>
  <c r="K25" i="16"/>
  <c r="O2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Tania</author>
    <author>Tânia</author>
  </authors>
  <commentList>
    <comment ref="K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-Você precisa somar  a coluna do Nº de pacientes.  
-Selecione a coluna do Nº depacientes, sem o cabeçalho e clique sobre  o símbolo de somatório  </t>
        </r>
        <r>
          <rPr>
            <b/>
            <sz val="8"/>
            <color indexed="81"/>
            <rFont val="Symbol"/>
            <family val="1"/>
            <charset val="2"/>
          </rPr>
          <t>S. 
-</t>
        </r>
        <r>
          <rPr>
            <b/>
            <sz val="10"/>
            <color indexed="81"/>
            <rFont val="Calibri"/>
            <family val="2"/>
          </rPr>
          <t>Mas se preferir, use calculadora ou papel e caneta...</t>
        </r>
      </text>
    </comment>
    <comment ref="K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 numeração das unidades de saúde  inicia em 1 e termina em 20. Portanto são 20 unidades!
 </t>
        </r>
      </text>
    </comment>
    <comment ref="K11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Você precisa somar  a coluna do Nº de profissionais da saúde. 
Selecione a coluna do Nº de profissionais, sem o cabeçalho e clique sobre o símbolo de somatório  </t>
        </r>
        <r>
          <rPr>
            <sz val="9"/>
            <color indexed="81"/>
            <rFont val="Symbol"/>
            <family val="1"/>
            <charset val="2"/>
          </rPr>
          <t>S</t>
        </r>
        <r>
          <rPr>
            <sz val="9"/>
            <color indexed="81"/>
            <rFont val="Tahoma"/>
            <family val="2"/>
          </rPr>
          <t>. Mas se preferir, use calculadora ou papel e caneta...</t>
        </r>
      </text>
    </comment>
    <comment ref="K1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Basta dividir o total de pacientes pelo número de unidade de saúde.</t>
        </r>
      </text>
    </comment>
    <comment ref="K1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Basta dividir o total de pacientes pelo total deprifissionais da saúde.</t>
        </r>
      </text>
    </comment>
    <comment ref="K17" authorId="0" shapeId="0" xr:uid="{00000000-0006-0000-0100-000006000000}">
      <text>
        <r>
          <rPr>
            <sz val="9"/>
            <color indexed="81"/>
            <rFont val="Tahoma"/>
            <family val="2"/>
          </rPr>
          <t>- Basta dividir o número de alunos da escola  n° 16 pelo número de professores daquela escola.</t>
        </r>
      </text>
    </comment>
    <comment ref="K20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Basta subtrair a média de pacientes pelo  número de profissionais da saúde da unidade de saúde  n°16 da média geral de número de pacientes por profissional da saúde.
</t>
        </r>
      </text>
    </comment>
    <comment ref="K22" authorId="0" shapeId="0" xr:uid="{00000000-0006-0000-0100-000008000000}">
      <text>
        <r>
          <rPr>
            <sz val="9"/>
            <color indexed="81"/>
            <rFont val="Tahoma"/>
            <family val="2"/>
          </rPr>
          <t>- Basta dividir o número depacientes da unidade de saúde  n° 8 pelo número de profissionais da saúde daquela unidade
.</t>
        </r>
      </text>
    </comment>
    <comment ref="K25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Basta subtrair a média de pacientes da unidade de saúde  n° 8 da média geral de número de pacientes por profissional da saúde.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Tania</author>
  </authors>
  <commentList>
    <comment ref="O12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Basta dividir o total depacientes atendidas pelo número de hospitais(20)</t>
        </r>
      </text>
    </comment>
    <comment ref="O1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Basta dividir o total depacientes atendidos pelo total de profissionais da saúde da tabela toda</t>
        </r>
      </text>
    </comment>
    <comment ref="O16" authorId="0" shapeId="0" xr:uid="{00000000-0006-0000-0200-000006000000}">
      <text>
        <r>
          <rPr>
            <sz val="9"/>
            <color indexed="81"/>
            <rFont val="Tahoma"/>
            <family val="2"/>
          </rPr>
          <t>- Basta dividir o número de pacientes atendidos no hospital  n° 20,  pelo número de profissionais de saúde  daquele hospital.</t>
        </r>
      </text>
    </comment>
    <comment ref="O19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Basta subtrair a média de pessoas atendidas por profissiona no hospital n° 20 da média geral de número de pacientes atendidas por profissional de saúde considerando toda a tabela.
</t>
        </r>
      </text>
    </comment>
    <comment ref="O21" authorId="0" shapeId="0" xr:uid="{00000000-0006-0000-0200-000008000000}">
      <text>
        <r>
          <rPr>
            <sz val="9"/>
            <color indexed="81"/>
            <rFont val="Tahoma"/>
            <family val="2"/>
          </rPr>
          <t>- Basta dividir o número de pacientes atendidas no hospital n° 1 pelo número de profissionais daquela hospital.</t>
        </r>
      </text>
    </comment>
    <comment ref="O24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Basta subtrair a média de pscientes atendidas por profissional no hospital n° 1 da média geral de número depacientes atendidos por profissional.
</t>
        </r>
      </text>
    </comment>
  </commentList>
</comments>
</file>

<file path=xl/sharedStrings.xml><?xml version="1.0" encoding="utf-8"?>
<sst xmlns="http://schemas.openxmlformats.org/spreadsheetml/2006/main" count="337" uniqueCount="191">
  <si>
    <t xml:space="preserve">TOTAL GERAL  412.939,66 583.793,44 531.965,83 410.463,08 434.281,83 456.922,30 440.501,08 392.851,25 505.707,91 497.236,66 495.380,58 691.209,69 5.853.253,31 </t>
  </si>
  <si>
    <t xml:space="preserve">TOTAL GERAL </t>
  </si>
  <si>
    <t>Total</t>
  </si>
  <si>
    <t>Valores repassados</t>
  </si>
  <si>
    <t>1 º</t>
  </si>
  <si>
    <t>2 º</t>
  </si>
  <si>
    <t>3 º</t>
  </si>
  <si>
    <t>4 º</t>
  </si>
  <si>
    <t>5 º</t>
  </si>
  <si>
    <t>6 º</t>
  </si>
  <si>
    <t>7 º</t>
  </si>
  <si>
    <t>8 º</t>
  </si>
  <si>
    <t>9 º</t>
  </si>
  <si>
    <t>10 º</t>
  </si>
  <si>
    <t>11 º</t>
  </si>
  <si>
    <t>12 º</t>
  </si>
  <si>
    <t>http://tabnet.datasus.gov.br/cgi/tabcgi.exe?idb2010/e15.def</t>
  </si>
  <si>
    <t>Unidade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</si>
  <si>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</si>
  <si>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</si>
  <si>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</si>
  <si>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</si>
  <si>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</si>
  <si>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</si>
  <si>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</si>
  <si>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</si>
  <si>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</si>
  <si>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</si>
  <si>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</si>
  <si>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</si>
  <si>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</si>
  <si>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</si>
  <si>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</si>
  <si>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</si>
  <si>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</si>
  <si>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</si>
  <si>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</si>
  <si>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</si>
  <si>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</si>
  <si>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</si>
  <si>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</si>
  <si>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</si>
  <si>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</si>
  <si>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</si>
  <si>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</si>
  <si>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 xml:space="preserve"> Fonte: Ministério da Educação - Instituto Nacional de Estudos e Pesquisas Educacionais Anísio Teixeira</t>
  </si>
  <si>
    <t>Número de graduados</t>
  </si>
  <si>
    <t>Ordem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</si>
  <si>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</si>
  <si>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</si>
  <si>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</si>
  <si>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</si>
  <si>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</si>
  <si>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</si>
  <si>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</si>
  <si>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</si>
  <si>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</si>
  <si>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</si>
  <si>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</si>
  <si>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</si>
  <si>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</si>
  <si>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</si>
  <si>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</si>
  <si>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</si>
  <si>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</si>
  <si>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</si>
  <si>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</si>
  <si>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</si>
  <si>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</si>
  <si>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</si>
  <si>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</si>
  <si>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</si>
  <si>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</si>
  <si>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</si>
  <si>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</si>
  <si>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Unidade da Federão</t>
  </si>
  <si>
    <t>Qual é o valor da mediana?</t>
  </si>
  <si>
    <t>Interprete a mediana:</t>
  </si>
  <si>
    <t xml:space="preserve">Interpretações da mediana: </t>
  </si>
  <si>
    <t>Qual é a posição da mediana</t>
  </si>
  <si>
    <t xml:space="preserve"> Pmediana = (27+1)/2=14. A mediana do número de concluintes de cursos de graduação em saúde   por unidade de federação é 1678.</t>
  </si>
  <si>
    <t xml:space="preserve"> Em 2009, 50%  das unidades federativas  do Brasil tinham  um número igual ou superior  a 1678  de concluites de cursos de graduadação na área de saúde.</t>
  </si>
  <si>
    <t>RX_simples_p/100.000_hab</t>
  </si>
  <si>
    <t xml:space="preserve"> Fonte: Ministério da Saúde/SAS - Cadastro Nacional de Estabelecimentos de Saúde (CNES)</t>
  </si>
  <si>
    <t>http://tabnet.datasus.gov.br/cgi/tabcgi.exe?idb2010/e18.def</t>
  </si>
  <si>
    <t>Ordenação</t>
  </si>
  <si>
    <t>Tabela 1 -   Número de concluintes de cursos de graduação em saúde. Número de graduados por Unidade da Federação.Período:2009</t>
  </si>
  <si>
    <t>Tabela 2 - Número de concluites de cursos de graduadação  por posição do estado  em ordem crescente</t>
  </si>
  <si>
    <t>Tabela 8 - Equipamentos de imagem utilizados em saúde. RX simples p/100.000 hab por Unidade da Federação. Período:2009</t>
  </si>
  <si>
    <t>Tabela 9 -Equipamentos de imagem utilizados em saúde. RX simples p/100.000 hab por posição do estado  em ordem crescente</t>
  </si>
  <si>
    <t xml:space="preserve">Qual a posição da mediana? </t>
  </si>
  <si>
    <t xml:space="preserve">     Antes de iniciar você deve digitar os dados solicitados abaixo</t>
  </si>
  <si>
    <t>Teu primeiro nome</t>
  </si>
  <si>
    <t xml:space="preserve">Exemplo: Pedro </t>
  </si>
  <si>
    <t>Teu RG na Unijuí( Somente algarismos de 0 a 9)</t>
  </si>
  <si>
    <t>Exemplo: 495001</t>
  </si>
  <si>
    <t>Município  onde você reside</t>
  </si>
  <si>
    <t>Exemplo: Ijuí</t>
  </si>
  <si>
    <t>Bom trabalho.</t>
  </si>
  <si>
    <t>Responda as perguntas nas células de fundo amarelo.</t>
  </si>
  <si>
    <t>Observe as informações  negritadas   referentes a mediana</t>
  </si>
  <si>
    <r>
      <t xml:space="preserve">Cálculo </t>
    </r>
    <r>
      <rPr>
        <b/>
        <sz val="12"/>
        <color indexed="13"/>
        <rFont val="Calibri"/>
        <family val="2"/>
      </rPr>
      <t>da posição</t>
    </r>
    <r>
      <rPr>
        <sz val="12"/>
        <color indexed="13"/>
        <rFont val="Calibri"/>
        <family val="2"/>
      </rPr>
      <t xml:space="preserve"> da mediana = (n+1)/2 porque o número de dados é 27 que é ímpar , onde n é o número de dados.</t>
    </r>
  </si>
  <si>
    <t xml:space="preserve">Cálculo da posição da mediana </t>
  </si>
  <si>
    <t>Observe as informações   referentes a mediana da tabela 2</t>
  </si>
  <si>
    <t>Fonte: Dados fictícios</t>
  </si>
  <si>
    <t xml:space="preserve">Posição do valor </t>
  </si>
  <si>
    <t>Use pelo menos duas casas após a vírgula.</t>
  </si>
  <si>
    <t>1) Qual é a soma da renda familiar?</t>
  </si>
  <si>
    <t>3) Qual é a moda da renda familiar?</t>
  </si>
  <si>
    <t>5)Qual é a posição da mediana?</t>
  </si>
  <si>
    <t>6)Qual é o valor da mediana?</t>
  </si>
  <si>
    <t>1) Qual é a soma dos pesos ?</t>
  </si>
  <si>
    <t>3) Qual é a moda dos pesos ?</t>
  </si>
  <si>
    <t>r5</t>
  </si>
  <si>
    <t>r6</t>
  </si>
  <si>
    <t>2)Qual é a média da renda familiar(X)?</t>
  </si>
  <si>
    <t xml:space="preserve">Posição do valor(i) </t>
  </si>
  <si>
    <t>2)Qual é a média dos pesos(X) ?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</si>
  <si>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</si>
  <si>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</si>
  <si>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</si>
  <si>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</si>
  <si>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</si>
  <si>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</si>
  <si>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</si>
  <si>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</si>
  <si>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</si>
  <si>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</si>
  <si>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</si>
  <si>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</si>
  <si>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Valor(xi)</t>
  </si>
  <si>
    <t>RX_simples_p/100.000_hab (xi)</t>
  </si>
  <si>
    <t>dp</t>
  </si>
  <si>
    <t>Média=</t>
  </si>
  <si>
    <t>Dica</t>
  </si>
  <si>
    <t>Fonte: Dados Fictícios</t>
  </si>
  <si>
    <t>Complete os desvios somente após calcular a média de forma correta</t>
  </si>
  <si>
    <t>Médias</t>
  </si>
  <si>
    <t>Continue</t>
  </si>
  <si>
    <t>Reponda a seguinte pergunta com relação ao objeto 1 que você deve desenvolvel a partir da aula Web ou do link Tente abrir o primeiro no seguinte endereço:</t>
  </si>
  <si>
    <t xml:space="preserve">https://theleoni.github.io/unijui-dceeng-matematica/Projeto/Objeto%201 </t>
  </si>
  <si>
    <t>https://theleoni.github.io/unijui-dceeng-matematica/Projeto/Objeto%202</t>
  </si>
  <si>
    <t xml:space="preserve"> O que você aprendeu ao desenvolver este objeto? </t>
  </si>
  <si>
    <t>Reponda a seguinte pergunta com relação ao objeto 2 que você deve desenvolvel a partir da aula Web ou do link Tente abrir o primeiro no seguinte endereço:</t>
  </si>
  <si>
    <t xml:space="preserve"> O que você aprendeu ao desenvolver este objeto 2? </t>
  </si>
  <si>
    <t>Nº de Profissionaisres(yi)</t>
  </si>
  <si>
    <t>Nº da unidade de saúde(i)</t>
  </si>
  <si>
    <t xml:space="preserve"> Nº de pacientes(xi)</t>
  </si>
  <si>
    <t>Tânia</t>
  </si>
  <si>
    <t>Ijuí</t>
  </si>
  <si>
    <t>Responda as questões a seguir utilizando os os dados  da tabela ao lado.</t>
  </si>
  <si>
    <t>&lt;-Como calcular?</t>
  </si>
  <si>
    <t>7) Qual o desvio(diferença) da média de pacientes por profissional da saúde da unidade de saúde n° 16 com relação a média geral de toda a tabela?</t>
  </si>
  <si>
    <t>7) Qual o desvio(diferença) da média de pacientes por profissional da saúde da unidade de saúde n° 8 com relação a média geral de todas as unidades de saúde?</t>
  </si>
  <si>
    <r>
      <rPr>
        <sz val="12"/>
        <color rgb="FF00B050"/>
        <rFont val="Calibri"/>
        <family val="2"/>
        <scheme val="minor"/>
      </rPr>
      <t>1</t>
    </r>
    <r>
      <rPr>
        <b/>
        <sz val="12"/>
        <color rgb="FF00B050"/>
        <rFont val="Calibri"/>
        <family val="2"/>
        <scheme val="minor"/>
      </rPr>
      <t xml:space="preserve">) </t>
    </r>
    <r>
      <rPr>
        <b/>
        <sz val="9"/>
        <color rgb="FF00B050"/>
        <rFont val="Calibri"/>
        <family val="2"/>
        <scheme val="minor"/>
      </rPr>
      <t>Desvio  do xi com relação à média geral do número de pessoas atendidas por posto</t>
    </r>
  </si>
  <si>
    <r>
      <rPr>
        <b/>
        <sz val="12"/>
        <color theme="4" tint="-0.249977111117893"/>
        <rFont val="Calibri"/>
        <family val="2"/>
        <scheme val="minor"/>
      </rPr>
      <t xml:space="preserve">2) </t>
    </r>
    <r>
      <rPr>
        <b/>
        <sz val="9"/>
        <color theme="4" tint="-0.249977111117893"/>
        <rFont val="Calibri"/>
        <family val="2"/>
        <scheme val="minor"/>
      </rPr>
      <t>Desvio  do yi com relação à média geral do número de profissionais de saude por posto</t>
    </r>
  </si>
  <si>
    <t>Nº do Hospital (i)</t>
  </si>
  <si>
    <t xml:space="preserve"> Nº de pacientes atendidas por ano (xi)</t>
  </si>
  <si>
    <t>Nº de profissionais da saúde  (yi)</t>
  </si>
  <si>
    <t>ATENÇÃO!       Complete as  células amarelas das  últimas duas colunas da tabela colocando SOMENTE os RESULTADOS, SEM o registro dos cálculos.   A primeiras linha  de cada coluna já estão preenchicas mostrando os cálculos que devem ser realizados. Você deve colocar somente os resultados. Feito isto, passe a responder as questões  3 a 12.</t>
  </si>
  <si>
    <t>12) Qual é a média do número de profissionais da saúde por hospital?</t>
  </si>
  <si>
    <r>
      <t xml:space="preserve">9) Qual o desvio(diferença) da média de pacientes atendidos por profissional do hospital </t>
    </r>
    <r>
      <rPr>
        <b/>
        <sz val="9"/>
        <color rgb="FF00B050"/>
        <rFont val="Calibri"/>
        <family val="2"/>
      </rPr>
      <t>n° 20 com relação a média geral ?</t>
    </r>
  </si>
  <si>
    <r>
      <t xml:space="preserve">11) Qual o desvio(diferença) da média de pessoas atendidas por profissional no hostipal </t>
    </r>
    <r>
      <rPr>
        <b/>
        <sz val="9"/>
        <color rgb="FF00B050"/>
        <rFont val="Calibri"/>
        <family val="2"/>
      </rPr>
      <t>n° 1 com relação a média geral ?</t>
    </r>
  </si>
  <si>
    <t>Nº da amostra</t>
  </si>
  <si>
    <t>Ordenação da amostra</t>
  </si>
  <si>
    <t>No meio?</t>
  </si>
  <si>
    <t>As perguntas se referem aos dados da Tabela 3</t>
  </si>
  <si>
    <r>
      <rPr>
        <sz val="9"/>
        <color indexed="10"/>
        <rFont val="Verdana"/>
        <family val="2"/>
      </rPr>
      <t>Tabela 1</t>
    </r>
    <r>
      <rPr>
        <sz val="9"/>
        <color indexed="8"/>
        <rFont val="Verdana"/>
        <family val="2"/>
      </rPr>
      <t xml:space="preserve"> - Peso de 12 amostras de  comprimidos </t>
    </r>
  </si>
  <si>
    <r>
      <rPr>
        <sz val="10"/>
        <color theme="4"/>
        <rFont val="Calibri"/>
        <family val="2"/>
      </rPr>
      <t>Tabela 2</t>
    </r>
    <r>
      <rPr>
        <sz val="10"/>
        <color indexed="8"/>
        <rFont val="Calibri"/>
        <family val="2"/>
      </rPr>
      <t xml:space="preserve"> Medidas da </t>
    </r>
    <r>
      <rPr>
        <sz val="10"/>
        <color indexed="10"/>
        <rFont val="Calibri"/>
        <family val="2"/>
      </rPr>
      <t xml:space="preserve">Tabela1 </t>
    </r>
    <r>
      <rPr>
        <sz val="10"/>
        <color indexed="8"/>
        <rFont val="Calibri"/>
        <family val="2"/>
      </rPr>
      <t>ordenados por peso, do menor para o maior.</t>
    </r>
  </si>
  <si>
    <t>Tabela 3 -Medidas da tabela 2 classificado  em ordem  crescente</t>
  </si>
  <si>
    <r>
      <t xml:space="preserve">Tabela 3 -Medidas da </t>
    </r>
    <r>
      <rPr>
        <sz val="10"/>
        <color theme="4"/>
        <rFont val="Calibri"/>
        <family val="2"/>
        <scheme val="minor"/>
      </rPr>
      <t>tabela 2</t>
    </r>
    <r>
      <rPr>
        <sz val="10"/>
        <color theme="1"/>
        <rFont val="Calibri"/>
        <family val="2"/>
        <scheme val="minor"/>
      </rPr>
      <t xml:space="preserve"> classificado  em ordem  crescente</t>
    </r>
  </si>
  <si>
    <t>Amostra                 nº</t>
  </si>
  <si>
    <t>Posição da amostra</t>
  </si>
  <si>
    <t>Fala uma das interpretações da mediana para este caso.</t>
  </si>
  <si>
    <t>Em  2009,  50% das unidades federativas  tinham   um número igual ou inferior a 1678 de concluites de cursos de graduadação na  área de saúde .</t>
  </si>
  <si>
    <r>
      <t>4)Coloque abaixo,os resultados dos desvios ao quadrado .             Desvio ao quadrado =</t>
    </r>
    <r>
      <rPr>
        <b/>
        <sz val="11"/>
        <color theme="0"/>
        <rFont val="Calibri"/>
        <family val="2"/>
      </rPr>
      <t>(X - x</t>
    </r>
    <r>
      <rPr>
        <b/>
        <vertAlign val="subscript"/>
        <sz val="11"/>
        <color theme="0"/>
        <rFont val="Calibri"/>
        <family val="2"/>
      </rPr>
      <t>i</t>
    </r>
    <r>
      <rPr>
        <b/>
        <sz val="11"/>
        <color theme="0"/>
        <rFont val="Calibri"/>
        <family val="2"/>
      </rPr>
      <t>)</t>
    </r>
    <r>
      <rPr>
        <b/>
        <vertAlign val="superscript"/>
        <sz val="11"/>
        <color theme="0"/>
        <rFont val="Calibri"/>
        <family val="2"/>
      </rPr>
      <t>2</t>
    </r>
    <r>
      <rPr>
        <b/>
        <sz val="11"/>
        <color theme="0"/>
        <rFont val="Calibri"/>
        <family val="2"/>
      </rPr>
      <t xml:space="preserve">, onde X é a geral  média e xi o valor da renda da linha. </t>
    </r>
  </si>
  <si>
    <r>
      <t xml:space="preserve">peso </t>
    </r>
    <r>
      <rPr>
        <b/>
        <sz val="11"/>
        <color theme="0"/>
        <rFont val="Calibri"/>
        <family val="2"/>
      </rPr>
      <t>x</t>
    </r>
    <r>
      <rPr>
        <b/>
        <vertAlign val="subscript"/>
        <sz val="11"/>
        <color theme="0"/>
        <rFont val="Calibri"/>
        <family val="2"/>
      </rPr>
      <t>i</t>
    </r>
  </si>
  <si>
    <r>
      <t>4)Coloque</t>
    </r>
    <r>
      <rPr>
        <b/>
        <sz val="11"/>
        <color theme="0"/>
        <rFont val="Calibri"/>
        <family val="2"/>
      </rPr>
      <t xml:space="preserve"> abaixo, somente </t>
    </r>
    <r>
      <rPr>
        <sz val="11"/>
        <color theme="0"/>
        <rFont val="Calibri"/>
        <family val="2"/>
        <scheme val="minor"/>
      </rPr>
      <t xml:space="preserve">os </t>
    </r>
    <r>
      <rPr>
        <b/>
        <u/>
        <sz val="11"/>
        <color theme="0"/>
        <rFont val="Calibri"/>
        <family val="2"/>
      </rPr>
      <t>resultados</t>
    </r>
    <r>
      <rPr>
        <b/>
        <sz val="11"/>
        <color theme="0"/>
        <rFont val="Calibri"/>
        <family val="2"/>
      </rPr>
      <t xml:space="preserve"> dos desvios ao quadrado.          Desvio ao quadrado =(xi - X)</t>
    </r>
    <r>
      <rPr>
        <b/>
        <vertAlign val="superscript"/>
        <sz val="11"/>
        <color theme="0"/>
        <rFont val="Calibri"/>
        <family val="2"/>
      </rPr>
      <t>2</t>
    </r>
    <r>
      <rPr>
        <b/>
        <sz val="11"/>
        <color theme="0"/>
        <rFont val="Calibri"/>
        <family val="2"/>
      </rPr>
      <t xml:space="preserve">, onde X é a geral  média e xi o valor da renda da linha. </t>
    </r>
  </si>
  <si>
    <r>
      <t>Renda familiar(</t>
    </r>
    <r>
      <rPr>
        <sz val="11"/>
        <color theme="0"/>
        <rFont val="Calibri"/>
        <family val="2"/>
      </rPr>
      <t>xi</t>
    </r>
    <r>
      <rPr>
        <sz val="11"/>
        <color theme="0"/>
        <rFont val="Calibri"/>
        <family val="2"/>
        <scheme val="minor"/>
      </rPr>
      <t>)</t>
    </r>
  </si>
  <si>
    <t>Acadêmico</t>
  </si>
  <si>
    <r>
      <rPr>
        <sz val="12"/>
        <color indexed="10"/>
        <rFont val="Verdana"/>
        <family val="2"/>
      </rPr>
      <t>Tabela 1</t>
    </r>
    <r>
      <rPr>
        <sz val="12"/>
        <color indexed="8"/>
        <rFont val="Verdana"/>
        <family val="2"/>
      </rPr>
      <t xml:space="preserve"> - Peso de 12 amostras de  comprimidos </t>
    </r>
  </si>
  <si>
    <r>
      <rPr>
        <sz val="12"/>
        <color theme="4"/>
        <rFont val="Calibri"/>
        <family val="2"/>
      </rPr>
      <t>Tabela 2</t>
    </r>
    <r>
      <rPr>
        <sz val="12"/>
        <color indexed="8"/>
        <rFont val="Calibri"/>
        <family val="2"/>
      </rPr>
      <t xml:space="preserve"> Medidas da </t>
    </r>
    <r>
      <rPr>
        <sz val="12"/>
        <color indexed="10"/>
        <rFont val="Calibri"/>
        <family val="2"/>
      </rPr>
      <t xml:space="preserve">Tabela1 </t>
    </r>
    <r>
      <rPr>
        <sz val="12"/>
        <color indexed="8"/>
        <rFont val="Calibri"/>
        <family val="2"/>
      </rPr>
      <t>ordenados por peso, do menor para o maior.</t>
    </r>
  </si>
  <si>
    <t>Média,  mediana  e   moda</t>
  </si>
  <si>
    <t>mg</t>
  </si>
  <si>
    <t xml:space="preserve">   Peso da amostra (mg)</t>
  </si>
  <si>
    <t>50% das amostras</t>
  </si>
  <si>
    <t>√</t>
  </si>
  <si>
    <t>https://www.youtube.com/watch?v=sS6Uh49OfhY</t>
  </si>
  <si>
    <t>Fonte: Secretaria do HDP.</t>
  </si>
  <si>
    <t>Leitos</t>
  </si>
  <si>
    <t xml:space="preserve">6)Coeficiente de varição=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</si>
</sst>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146" x14ac:knownFonts="1">
    <font>
      <sz val="11"/>
      <color theme="1"/>
      <name val="Calibri"/>
      <family val="2"/>
      <scheme val="minor"/>
    </font>
    <font>
      <b/>
      <sz val="12"/>
      <color indexed="13"/>
      <name val="Calibri"/>
      <family val="2"/>
    </font>
    <font>
      <sz val="12"/>
      <color indexed="13"/>
      <name val="Calibri"/>
      <family val="2"/>
    </font>
    <font>
      <b/>
      <sz val="8"/>
      <color indexed="81"/>
      <name val="Tahoma"/>
      <family val="2"/>
    </font>
    <font>
      <b/>
      <sz val="8"/>
      <color indexed="81"/>
      <name val="Symbol"/>
      <family val="1"/>
      <charset val="2"/>
    </font>
    <font>
      <b/>
      <sz val="10"/>
      <color indexed="81"/>
      <name val="Calibri"/>
      <family val="2"/>
    </font>
    <font>
      <sz val="9"/>
      <color indexed="81"/>
      <name val="Tahoma"/>
      <family val="2"/>
    </font>
    <font>
      <sz val="9"/>
      <color indexed="81"/>
      <name val="Symbol"/>
      <family val="1"/>
      <charset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Batang"/>
      <family val="1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6"/>
      <color theme="1"/>
      <name val="Verdana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Verdana"/>
      <family val="2"/>
    </font>
    <font>
      <sz val="11"/>
      <color theme="2" tint="-9.9978637043366805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rgb="FF00B050"/>
      <name val="Calibri"/>
      <family val="2"/>
    </font>
    <font>
      <b/>
      <sz val="16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rgb="FF92D050"/>
      <name val="Calibri"/>
      <family val="2"/>
      <scheme val="minor"/>
    </font>
    <font>
      <b/>
      <sz val="12"/>
      <color rgb="FFE210C9"/>
      <name val="Calibri"/>
      <family val="2"/>
      <scheme val="minor"/>
    </font>
    <font>
      <sz val="12"/>
      <color rgb="FFB88C00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sz val="12"/>
      <color rgb="FF275B99"/>
      <name val="Calibri"/>
      <family val="2"/>
      <scheme val="minor"/>
    </font>
    <font>
      <sz val="12"/>
      <color rgb="FF6BA42C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3" tint="0.5999938962981048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1"/>
      <color rgb="FFFFFF00"/>
      <name val="Verdana"/>
      <family val="2"/>
    </font>
    <font>
      <sz val="10"/>
      <color theme="1"/>
      <name val="Calibri"/>
      <family val="2"/>
    </font>
    <font>
      <sz val="10"/>
      <color theme="4"/>
      <name val="Calibri"/>
      <family val="2"/>
    </font>
    <font>
      <sz val="10"/>
      <color theme="4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sz val="18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Verdana"/>
      <family val="2"/>
    </font>
    <font>
      <sz val="12"/>
      <color indexed="10"/>
      <name val="Verdana"/>
      <family val="2"/>
    </font>
    <font>
      <sz val="12"/>
      <color indexed="8"/>
      <name val="Verdana"/>
      <family val="2"/>
    </font>
    <font>
      <sz val="12"/>
      <color theme="1"/>
      <name val="Calibri"/>
      <family val="2"/>
    </font>
    <font>
      <sz val="12"/>
      <color theme="4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FFFF66"/>
      <name val="Calibri"/>
      <family val="2"/>
      <scheme val="minor"/>
    </font>
    <font>
      <b/>
      <sz val="14"/>
      <color rgb="FFFFFF66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Symbol"/>
      <family val="1"/>
      <charset val="2"/>
    </font>
    <font>
      <sz val="12"/>
      <color theme="1"/>
      <name val="Symbol"/>
      <family val="1"/>
      <charset val="2"/>
    </font>
    <font>
      <b/>
      <sz val="11"/>
      <color theme="9" tint="-0.499984740745262"/>
      <name val="Calibri"/>
      <family val="2"/>
      <scheme val="minor"/>
    </font>
    <font>
      <sz val="12"/>
      <color theme="1"/>
      <name val="Wide Latin"/>
      <family val="1"/>
    </font>
    <font>
      <b/>
      <sz val="12"/>
      <color theme="9" tint="-0.49998474074526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8"/>
      <color rgb="FF00B050"/>
      <name val="Angsana New"/>
      <family val="1"/>
      <charset val="222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88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CFAC6"/>
        <bgColor indexed="64"/>
      </patternFill>
    </fill>
    <fill>
      <patternFill patternType="solid">
        <fgColor rgb="FF00569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540">
    <xf numFmtId="0" fontId="0" fillId="0" borderId="0" xfId="0"/>
    <xf numFmtId="0" fontId="0" fillId="2" borderId="0" xfId="0" applyFill="1"/>
    <xf numFmtId="0" fontId="23" fillId="2" borderId="34" xfId="0" applyFont="1" applyFill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8" fillId="0" borderId="0" xfId="0" applyFont="1"/>
    <xf numFmtId="0" fontId="0" fillId="2" borderId="0" xfId="0" applyFont="1" applyFill="1"/>
    <xf numFmtId="0" fontId="29" fillId="2" borderId="0" xfId="0" applyFont="1" applyFill="1"/>
    <xf numFmtId="0" fontId="0" fillId="2" borderId="0" xfId="0" applyFont="1" applyFill="1" applyBorder="1" applyAlignment="1">
      <alignment horizontal="center"/>
    </xf>
    <xf numFmtId="0" fontId="28" fillId="2" borderId="0" xfId="0" applyFont="1" applyFill="1"/>
    <xf numFmtId="0" fontId="16" fillId="2" borderId="0" xfId="0" applyFont="1" applyFill="1"/>
    <xf numFmtId="0" fontId="0" fillId="5" borderId="0" xfId="0" applyFill="1"/>
    <xf numFmtId="0" fontId="0" fillId="7" borderId="7" xfId="0" applyFill="1" applyBorder="1" applyAlignment="1">
      <alignment horizontal="center"/>
    </xf>
    <xf numFmtId="0" fontId="38" fillId="2" borderId="0" xfId="0" applyFont="1" applyFill="1"/>
    <xf numFmtId="0" fontId="18" fillId="2" borderId="0" xfId="0" applyFont="1" applyFill="1" applyBorder="1" applyAlignment="1">
      <alignment wrapText="1"/>
    </xf>
    <xf numFmtId="0" fontId="28" fillId="2" borderId="0" xfId="0" applyFont="1" applyFill="1" applyAlignment="1">
      <alignment vertical="top" wrapText="1"/>
    </xf>
    <xf numFmtId="0" fontId="18" fillId="2" borderId="0" xfId="0" applyFont="1" applyFill="1" applyBorder="1" applyAlignment="1">
      <alignment vertical="top" wrapText="1"/>
    </xf>
    <xf numFmtId="0" fontId="25" fillId="0" borderId="0" xfId="0" applyFont="1" applyBorder="1"/>
    <xf numFmtId="0" fontId="25" fillId="2" borderId="0" xfId="0" applyFont="1" applyFill="1"/>
    <xf numFmtId="0" fontId="40" fillId="2" borderId="0" xfId="0" applyFont="1" applyFill="1" applyAlignment="1">
      <alignment vertical="center"/>
    </xf>
    <xf numFmtId="0" fontId="40" fillId="2" borderId="0" xfId="0" applyFont="1" applyFill="1" applyBorder="1" applyAlignment="1">
      <alignment vertical="center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/>
    <xf numFmtId="0" fontId="25" fillId="2" borderId="0" xfId="0" applyFont="1" applyFill="1" applyBorder="1" applyAlignment="1">
      <alignment vertical="top" wrapText="1"/>
    </xf>
    <xf numFmtId="0" fontId="51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13" fillId="2" borderId="0" xfId="0" applyFont="1" applyFill="1"/>
    <xf numFmtId="0" fontId="14" fillId="2" borderId="0" xfId="1" applyFill="1"/>
    <xf numFmtId="0" fontId="0" fillId="6" borderId="0" xfId="0" applyFill="1"/>
    <xf numFmtId="0" fontId="0" fillId="7" borderId="0" xfId="0" applyFill="1"/>
    <xf numFmtId="0" fontId="29" fillId="2" borderId="0" xfId="0" applyFont="1" applyFill="1" applyAlignment="1">
      <alignment horizontal="right" vertical="top"/>
    </xf>
    <xf numFmtId="0" fontId="0" fillId="2" borderId="0" xfId="0" applyFill="1" applyAlignment="1"/>
    <xf numFmtId="0" fontId="29" fillId="2" borderId="0" xfId="0" applyFont="1" applyFill="1" applyAlignment="1">
      <alignment horizontal="right"/>
    </xf>
    <xf numFmtId="0" fontId="0" fillId="10" borderId="0" xfId="0" applyFill="1"/>
    <xf numFmtId="0" fontId="0" fillId="9" borderId="6" xfId="0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62" fillId="9" borderId="6" xfId="0" applyFont="1" applyFill="1" applyBorder="1" applyAlignment="1">
      <alignment horizontal="center"/>
    </xf>
    <xf numFmtId="0" fontId="44" fillId="2" borderId="0" xfId="0" applyFont="1" applyFill="1"/>
    <xf numFmtId="0" fontId="45" fillId="2" borderId="0" xfId="0" applyFont="1" applyFill="1"/>
    <xf numFmtId="0" fontId="0" fillId="2" borderId="0" xfId="0" applyFont="1" applyFill="1" applyBorder="1"/>
    <xf numFmtId="0" fontId="15" fillId="2" borderId="0" xfId="0" applyFont="1" applyFill="1"/>
    <xf numFmtId="0" fontId="0" fillId="2" borderId="0" xfId="0" applyFill="1" applyAlignment="1">
      <alignment vertical="center"/>
    </xf>
    <xf numFmtId="0" fontId="46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12" borderId="6" xfId="0" applyFill="1" applyBorder="1" applyAlignment="1">
      <alignment vertical="center"/>
    </xf>
    <xf numFmtId="0" fontId="31" fillId="2" borderId="0" xfId="0" applyFont="1" applyFill="1"/>
    <xf numFmtId="0" fontId="66" fillId="2" borderId="0" xfId="0" applyFont="1" applyFill="1" applyBorder="1"/>
    <xf numFmtId="0" fontId="66" fillId="2" borderId="0" xfId="0" applyFont="1" applyFill="1"/>
    <xf numFmtId="0" fontId="13" fillId="2" borderId="0" xfId="0" applyFont="1" applyFill="1" applyBorder="1"/>
    <xf numFmtId="0" fontId="42" fillId="2" borderId="0" xfId="0" applyFont="1" applyFill="1" applyBorder="1" applyAlignment="1">
      <alignment horizontal="left" wrapText="1"/>
    </xf>
    <xf numFmtId="0" fontId="49" fillId="2" borderId="0" xfId="0" applyFont="1" applyFill="1" applyBorder="1" applyAlignment="1">
      <alignment horizontal="left" wrapTex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0" fontId="53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54" fillId="2" borderId="0" xfId="0" applyFont="1" applyFill="1" applyAlignment="1">
      <alignment vertical="center"/>
    </xf>
    <xf numFmtId="0" fontId="39" fillId="2" borderId="0" xfId="0" applyFont="1" applyFill="1"/>
    <xf numFmtId="0" fontId="63" fillId="2" borderId="0" xfId="0" applyFont="1" applyFill="1"/>
    <xf numFmtId="0" fontId="0" fillId="2" borderId="20" xfId="0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55" fillId="2" borderId="0" xfId="0" applyFont="1" applyFill="1"/>
    <xf numFmtId="0" fontId="67" fillId="2" borderId="0" xfId="0" applyFont="1" applyFill="1" applyBorder="1" applyAlignment="1">
      <alignment horizontal="center" vertical="top" wrapText="1"/>
    </xf>
    <xf numFmtId="0" fontId="68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vertical="center"/>
    </xf>
    <xf numFmtId="0" fontId="72" fillId="2" borderId="12" xfId="0" applyFont="1" applyFill="1" applyBorder="1" applyAlignment="1">
      <alignment vertical="center" wrapText="1"/>
    </xf>
    <xf numFmtId="0" fontId="0" fillId="12" borderId="3" xfId="0" applyFill="1" applyBorder="1" applyAlignment="1">
      <alignment vertical="center"/>
    </xf>
    <xf numFmtId="0" fontId="25" fillId="2" borderId="0" xfId="0" applyFont="1" applyFill="1" applyAlignment="1">
      <alignment horizontal="center"/>
    </xf>
    <xf numFmtId="0" fontId="75" fillId="2" borderId="0" xfId="0" applyFont="1" applyFill="1"/>
    <xf numFmtId="0" fontId="13" fillId="2" borderId="0" xfId="0" applyFont="1" applyFill="1" applyBorder="1" applyAlignment="1">
      <alignment horizontal="center"/>
    </xf>
    <xf numFmtId="0" fontId="0" fillId="15" borderId="0" xfId="0" applyFill="1"/>
    <xf numFmtId="0" fontId="44" fillId="15" borderId="0" xfId="0" applyFont="1" applyFill="1"/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57" fillId="2" borderId="10" xfId="0" applyFont="1" applyFill="1" applyBorder="1" applyAlignment="1">
      <alignment vertical="top"/>
    </xf>
    <xf numFmtId="0" fontId="71" fillId="15" borderId="0" xfId="0" applyFont="1" applyFill="1"/>
    <xf numFmtId="0" fontId="71" fillId="2" borderId="0" xfId="0" applyFont="1" applyFill="1"/>
    <xf numFmtId="0" fontId="76" fillId="2" borderId="0" xfId="0" applyFont="1" applyFill="1"/>
    <xf numFmtId="0" fontId="77" fillId="15" borderId="0" xfId="0" applyFont="1" applyFill="1"/>
    <xf numFmtId="0" fontId="78" fillId="2" borderId="0" xfId="0" quotePrefix="1" applyFont="1" applyFill="1"/>
    <xf numFmtId="0" fontId="79" fillId="2" borderId="0" xfId="0" applyFont="1" applyFill="1"/>
    <xf numFmtId="0" fontId="80" fillId="2" borderId="0" xfId="0" applyFont="1" applyFill="1" applyAlignment="1">
      <alignment vertical="center"/>
    </xf>
    <xf numFmtId="0" fontId="38" fillId="12" borderId="1" xfId="0" applyFont="1" applyFill="1" applyBorder="1" applyAlignment="1">
      <alignment vertical="center"/>
    </xf>
    <xf numFmtId="0" fontId="37" fillId="12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2" fillId="2" borderId="0" xfId="0" applyFont="1" applyFill="1" applyBorder="1" applyAlignment="1">
      <alignment vertical="top" wrapText="1"/>
    </xf>
    <xf numFmtId="0" fontId="83" fillId="2" borderId="0" xfId="0" applyFont="1" applyFill="1"/>
    <xf numFmtId="0" fontId="74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23" fillId="2" borderId="0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1" fillId="2" borderId="34" xfId="0" applyFont="1" applyFill="1" applyBorder="1" applyAlignment="1">
      <alignment horizontal="center" vertical="center" wrapText="1"/>
    </xf>
    <xf numFmtId="4" fontId="21" fillId="2" borderId="34" xfId="0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34" fillId="2" borderId="0" xfId="0" applyFont="1" applyFill="1"/>
    <xf numFmtId="4" fontId="0" fillId="2" borderId="0" xfId="0" applyNumberFormat="1" applyFont="1" applyFill="1" applyBorder="1"/>
    <xf numFmtId="0" fontId="41" fillId="2" borderId="33" xfId="0" applyFont="1" applyFill="1" applyBorder="1"/>
    <xf numFmtId="0" fontId="24" fillId="16" borderId="0" xfId="0" applyFont="1" applyFill="1"/>
    <xf numFmtId="0" fontId="23" fillId="16" borderId="0" xfId="0" applyFont="1" applyFill="1" applyBorder="1" applyAlignment="1">
      <alignment horizontal="center" vertical="center" wrapText="1"/>
    </xf>
    <xf numFmtId="0" fontId="22" fillId="16" borderId="0" xfId="0" applyFont="1" applyFill="1"/>
    <xf numFmtId="0" fontId="34" fillId="16" borderId="0" xfId="0" applyFont="1" applyFill="1"/>
    <xf numFmtId="0" fontId="0" fillId="16" borderId="0" xfId="0" applyFill="1"/>
    <xf numFmtId="0" fontId="0" fillId="16" borderId="0" xfId="0" applyFill="1" applyBorder="1"/>
    <xf numFmtId="0" fontId="41" fillId="2" borderId="0" xfId="0" applyFont="1" applyFill="1" applyBorder="1" applyAlignment="1">
      <alignment horizontal="center" vertical="center"/>
    </xf>
    <xf numFmtId="1" fontId="0" fillId="2" borderId="0" xfId="0" applyNumberFormat="1" applyFill="1"/>
    <xf numFmtId="0" fontId="0" fillId="2" borderId="0" xfId="0" applyFill="1" applyBorder="1" applyAlignment="1">
      <alignment horizontal="center"/>
    </xf>
    <xf numFmtId="1" fontId="41" fillId="12" borderId="0" xfId="0" applyNumberFormat="1" applyFont="1" applyFill="1" applyBorder="1" applyAlignment="1">
      <alignment horizontal="center" vertical="center"/>
    </xf>
    <xf numFmtId="1" fontId="41" fillId="4" borderId="0" xfId="0" applyNumberFormat="1" applyFont="1" applyFill="1" applyBorder="1" applyAlignment="1">
      <alignment horizontal="center" vertical="center"/>
    </xf>
    <xf numFmtId="1" fontId="57" fillId="4" borderId="0" xfId="0" applyNumberFormat="1" applyFont="1" applyFill="1" applyBorder="1" applyAlignment="1">
      <alignment horizontal="center" vertical="center"/>
    </xf>
    <xf numFmtId="0" fontId="87" fillId="2" borderId="0" xfId="0" applyFont="1" applyFill="1" applyBorder="1"/>
    <xf numFmtId="0" fontId="42" fillId="2" borderId="0" xfId="0" applyFont="1" applyFill="1" applyBorder="1" applyAlignment="1">
      <alignment vertical="top" wrapText="1"/>
    </xf>
    <xf numFmtId="0" fontId="86" fillId="2" borderId="0" xfId="0" applyFont="1" applyFill="1" applyBorder="1" applyAlignment="1">
      <alignment vertical="top" wrapText="1"/>
    </xf>
    <xf numFmtId="0" fontId="41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13" fillId="17" borderId="0" xfId="0" applyFont="1" applyFill="1"/>
    <xf numFmtId="0" fontId="44" fillId="17" borderId="0" xfId="0" applyFont="1" applyFill="1"/>
    <xf numFmtId="0" fontId="67" fillId="2" borderId="0" xfId="0" applyFont="1" applyFill="1" applyBorder="1" applyAlignment="1">
      <alignment vertical="top" wrapText="1"/>
    </xf>
    <xf numFmtId="0" fontId="64" fillId="2" borderId="0" xfId="0" applyFont="1" applyFill="1" applyBorder="1" applyAlignment="1">
      <alignment horizontal="left" vertical="top" wrapText="1"/>
    </xf>
    <xf numFmtId="0" fontId="56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top" wrapText="1"/>
    </xf>
    <xf numFmtId="0" fontId="88" fillId="2" borderId="2" xfId="0" applyFont="1" applyFill="1" applyBorder="1" applyAlignment="1">
      <alignment horizontal="center" vertical="center"/>
    </xf>
    <xf numFmtId="1" fontId="88" fillId="2" borderId="3" xfId="0" applyNumberFormat="1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/>
    </xf>
    <xf numFmtId="1" fontId="65" fillId="2" borderId="3" xfId="0" applyNumberFormat="1" applyFont="1" applyFill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  <xf numFmtId="1" fontId="89" fillId="2" borderId="3" xfId="0" applyNumberFormat="1" applyFont="1" applyFill="1" applyBorder="1" applyAlignment="1">
      <alignment horizontal="center" vertical="center"/>
    </xf>
    <xf numFmtId="0" fontId="90" fillId="2" borderId="2" xfId="0" applyFont="1" applyFill="1" applyBorder="1" applyAlignment="1">
      <alignment horizontal="center" vertical="center"/>
    </xf>
    <xf numFmtId="1" fontId="90" fillId="2" borderId="3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  <xf numFmtId="1" fontId="91" fillId="2" borderId="3" xfId="0" applyNumberFormat="1" applyFont="1" applyFill="1" applyBorder="1" applyAlignment="1">
      <alignment horizontal="center" vertical="center"/>
    </xf>
    <xf numFmtId="0" fontId="92" fillId="2" borderId="2" xfId="0" applyFont="1" applyFill="1" applyBorder="1" applyAlignment="1">
      <alignment horizontal="center" vertical="center"/>
    </xf>
    <xf numFmtId="1" fontId="92" fillId="2" borderId="3" xfId="0" applyNumberFormat="1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center" vertical="center"/>
    </xf>
    <xf numFmtId="1" fontId="93" fillId="2" borderId="3" xfId="0" applyNumberFormat="1" applyFont="1" applyFill="1" applyBorder="1" applyAlignment="1">
      <alignment horizontal="center" vertical="center"/>
    </xf>
    <xf numFmtId="0" fontId="94" fillId="2" borderId="2" xfId="0" applyFont="1" applyFill="1" applyBorder="1" applyAlignment="1">
      <alignment horizontal="center" vertical="center"/>
    </xf>
    <xf numFmtId="1" fontId="94" fillId="2" borderId="3" xfId="0" applyNumberFormat="1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center" vertical="center"/>
    </xf>
    <xf numFmtId="1" fontId="95" fillId="2" borderId="3" xfId="0" applyNumberFormat="1" applyFont="1" applyFill="1" applyBorder="1" applyAlignment="1">
      <alignment horizontal="center" vertical="center"/>
    </xf>
    <xf numFmtId="0" fontId="96" fillId="2" borderId="2" xfId="0" applyFont="1" applyFill="1" applyBorder="1" applyAlignment="1">
      <alignment horizontal="center" vertical="center"/>
    </xf>
    <xf numFmtId="1" fontId="96" fillId="2" borderId="3" xfId="0" applyNumberFormat="1" applyFont="1" applyFill="1" applyBorder="1" applyAlignment="1">
      <alignment horizontal="center" vertical="center"/>
    </xf>
    <xf numFmtId="0" fontId="97" fillId="2" borderId="2" xfId="0" applyFont="1" applyFill="1" applyBorder="1" applyAlignment="1">
      <alignment horizontal="center" vertical="center"/>
    </xf>
    <xf numFmtId="1" fontId="97" fillId="2" borderId="3" xfId="0" applyNumberFormat="1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2" fontId="28" fillId="2" borderId="16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/>
    <xf numFmtId="0" fontId="30" fillId="2" borderId="0" xfId="0" applyFont="1" applyFill="1" applyBorder="1"/>
    <xf numFmtId="0" fontId="16" fillId="2" borderId="0" xfId="0" applyFont="1" applyFill="1" applyBorder="1"/>
    <xf numFmtId="2" fontId="18" fillId="2" borderId="0" xfId="0" applyNumberFormat="1" applyFont="1" applyFill="1" applyBorder="1"/>
    <xf numFmtId="0" fontId="19" fillId="2" borderId="35" xfId="0" applyFont="1" applyFill="1" applyBorder="1" applyAlignment="1">
      <alignment horizontal="center" vertical="center" wrapText="1"/>
    </xf>
    <xf numFmtId="2" fontId="19" fillId="2" borderId="35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20" fillId="16" borderId="0" xfId="0" applyFont="1" applyFill="1"/>
    <xf numFmtId="0" fontId="19" fillId="16" borderId="0" xfId="0" applyFont="1" applyFill="1" applyBorder="1" applyAlignment="1">
      <alignment horizontal="center" vertical="center" wrapText="1"/>
    </xf>
    <xf numFmtId="2" fontId="19" fillId="16" borderId="0" xfId="0" applyNumberFormat="1" applyFont="1" applyFill="1" applyBorder="1" applyAlignment="1">
      <alignment horizontal="center" vertical="center" wrapText="1"/>
    </xf>
    <xf numFmtId="0" fontId="20" fillId="16" borderId="0" xfId="0" applyFont="1" applyFill="1" applyBorder="1"/>
    <xf numFmtId="0" fontId="0" fillId="2" borderId="15" xfId="0" applyFill="1" applyBorder="1" applyAlignment="1">
      <alignment horizontal="center" vertical="center"/>
    </xf>
    <xf numFmtId="0" fontId="32" fillId="16" borderId="0" xfId="0" applyFont="1" applyFill="1" applyBorder="1" applyAlignment="1">
      <alignment vertical="top"/>
    </xf>
    <xf numFmtId="0" fontId="31" fillId="16" borderId="0" xfId="0" applyFont="1" applyFill="1" applyAlignment="1">
      <alignment vertical="top"/>
    </xf>
    <xf numFmtId="0" fontId="58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/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center" wrapText="1"/>
    </xf>
    <xf numFmtId="0" fontId="102" fillId="2" borderId="0" xfId="0" applyFont="1" applyFill="1"/>
    <xf numFmtId="0" fontId="0" fillId="2" borderId="24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18" fillId="4" borderId="0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8" fillId="4" borderId="9" xfId="0" applyNumberFormat="1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8" fillId="8" borderId="0" xfId="0" applyNumberFormat="1" applyFont="1" applyFill="1" applyBorder="1" applyAlignment="1">
      <alignment horizontal="center" vertical="center"/>
    </xf>
    <xf numFmtId="164" fontId="0" fillId="18" borderId="5" xfId="0" applyNumberFormat="1" applyFill="1" applyBorder="1"/>
    <xf numFmtId="0" fontId="40" fillId="2" borderId="9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0" fontId="26" fillId="2" borderId="0" xfId="0" applyFont="1" applyFill="1"/>
    <xf numFmtId="0" fontId="25" fillId="16" borderId="0" xfId="0" applyFont="1" applyFill="1" applyBorder="1"/>
    <xf numFmtId="0" fontId="25" fillId="16" borderId="0" xfId="0" applyFont="1" applyFill="1" applyBorder="1" applyAlignment="1">
      <alignment horizontal="center"/>
    </xf>
    <xf numFmtId="0" fontId="26" fillId="16" borderId="0" xfId="0" applyFont="1" applyFill="1" applyBorder="1"/>
    <xf numFmtId="0" fontId="25" fillId="16" borderId="0" xfId="0" applyFont="1" applyFill="1"/>
    <xf numFmtId="0" fontId="25" fillId="2" borderId="2" xfId="0" applyFont="1" applyFill="1" applyBorder="1"/>
    <xf numFmtId="0" fontId="25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/>
    <xf numFmtId="0" fontId="25" fillId="7" borderId="0" xfId="0" applyFont="1" applyFill="1" applyBorder="1"/>
    <xf numFmtId="0" fontId="0" fillId="7" borderId="0" xfId="0" applyFill="1" applyBorder="1" applyAlignment="1">
      <alignment horizontal="center"/>
    </xf>
    <xf numFmtId="0" fontId="25" fillId="9" borderId="0" xfId="0" applyFont="1" applyFill="1" applyBorder="1"/>
    <xf numFmtId="0" fontId="0" fillId="9" borderId="0" xfId="0" applyFill="1" applyBorder="1" applyAlignment="1">
      <alignment horizontal="center"/>
    </xf>
    <xf numFmtId="0" fontId="103" fillId="7" borderId="0" xfId="0" applyFont="1" applyFill="1"/>
    <xf numFmtId="0" fontId="103" fillId="9" borderId="0" xfId="0" applyFont="1" applyFill="1"/>
    <xf numFmtId="0" fontId="0" fillId="19" borderId="0" xfId="0" applyFill="1" applyBorder="1"/>
    <xf numFmtId="0" fontId="0" fillId="19" borderId="2" xfId="0" applyFill="1" applyBorder="1" applyAlignment="1">
      <alignment horizontal="center" vertical="top" wrapText="1"/>
    </xf>
    <xf numFmtId="0" fontId="0" fillId="19" borderId="3" xfId="0" applyFill="1" applyBorder="1" applyAlignment="1">
      <alignment horizontal="center" vertical="top" wrapText="1"/>
    </xf>
    <xf numFmtId="0" fontId="25" fillId="19" borderId="2" xfId="0" applyFont="1" applyFill="1" applyBorder="1" applyAlignment="1">
      <alignment horizontal="center" vertical="top" wrapText="1"/>
    </xf>
    <xf numFmtId="0" fontId="0" fillId="19" borderId="1" xfId="0" applyFill="1" applyBorder="1" applyAlignment="1">
      <alignment horizontal="center" vertical="top" wrapText="1"/>
    </xf>
    <xf numFmtId="0" fontId="26" fillId="19" borderId="0" xfId="0" applyFont="1" applyFill="1" applyBorder="1"/>
    <xf numFmtId="0" fontId="25" fillId="19" borderId="0" xfId="0" applyFont="1" applyFill="1" applyBorder="1"/>
    <xf numFmtId="0" fontId="0" fillId="19" borderId="9" xfId="0" applyFill="1" applyBorder="1" applyAlignment="1">
      <alignment horizontal="center"/>
    </xf>
    <xf numFmtId="0" fontId="35" fillId="19" borderId="29" xfId="0" applyFont="1" applyFill="1" applyBorder="1"/>
    <xf numFmtId="0" fontId="0" fillId="7" borderId="9" xfId="0" applyFill="1" applyBorder="1" applyAlignment="1">
      <alignment horizontal="center"/>
    </xf>
    <xf numFmtId="0" fontId="103" fillId="7" borderId="9" xfId="0" applyFont="1" applyFill="1" applyBorder="1"/>
    <xf numFmtId="0" fontId="0" fillId="19" borderId="14" xfId="0" applyFill="1" applyBorder="1" applyAlignment="1">
      <alignment horizontal="center"/>
    </xf>
    <xf numFmtId="0" fontId="0" fillId="19" borderId="30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19" borderId="3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5" fillId="9" borderId="9" xfId="0" applyFont="1" applyFill="1" applyBorder="1"/>
    <xf numFmtId="0" fontId="0" fillId="9" borderId="37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103" fillId="9" borderId="29" xfId="0" applyFont="1" applyFill="1" applyBorder="1"/>
    <xf numFmtId="0" fontId="0" fillId="19" borderId="9" xfId="0" applyFill="1" applyBorder="1"/>
    <xf numFmtId="0" fontId="0" fillId="19" borderId="38" xfId="0" applyFill="1" applyBorder="1" applyAlignment="1">
      <alignment horizontal="center"/>
    </xf>
    <xf numFmtId="0" fontId="6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wrapText="1"/>
    </xf>
    <xf numFmtId="2" fontId="104" fillId="2" borderId="35" xfId="0" applyNumberFormat="1" applyFont="1" applyFill="1" applyBorder="1" applyAlignment="1">
      <alignment horizontal="center" vertical="center" wrapText="1"/>
    </xf>
    <xf numFmtId="2" fontId="104" fillId="16" borderId="0" xfId="0" applyNumberFormat="1" applyFont="1" applyFill="1" applyBorder="1" applyAlignment="1">
      <alignment horizontal="center" vertical="center" wrapText="1"/>
    </xf>
    <xf numFmtId="2" fontId="104" fillId="2" borderId="0" xfId="0" applyNumberFormat="1" applyFont="1" applyFill="1" applyBorder="1" applyAlignment="1">
      <alignment horizontal="center" vertical="center" wrapText="1"/>
    </xf>
    <xf numFmtId="4" fontId="39" fillId="2" borderId="0" xfId="0" applyNumberFormat="1" applyFont="1" applyFill="1"/>
    <xf numFmtId="0" fontId="58" fillId="2" borderId="0" xfId="0" applyFont="1" applyFill="1" applyBorder="1" applyAlignment="1">
      <alignment vertical="center"/>
    </xf>
    <xf numFmtId="0" fontId="79" fillId="2" borderId="0" xfId="0" applyFont="1" applyFill="1" applyAlignment="1">
      <alignment vertical="center"/>
    </xf>
    <xf numFmtId="0" fontId="34" fillId="11" borderId="0" xfId="0" applyFont="1" applyFill="1" applyAlignment="1">
      <alignment vertical="center"/>
    </xf>
    <xf numFmtId="0" fontId="25" fillId="2" borderId="3" xfId="0" applyFont="1" applyFill="1" applyBorder="1" applyAlignment="1">
      <alignment vertical="top" wrapText="1"/>
    </xf>
    <xf numFmtId="0" fontId="25" fillId="2" borderId="3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7" fillId="2" borderId="0" xfId="0" applyFont="1" applyFill="1"/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35" fillId="2" borderId="6" xfId="0" applyFont="1" applyFill="1" applyBorder="1"/>
    <xf numFmtId="0" fontId="34" fillId="14" borderId="0" xfId="0" applyFont="1" applyFill="1"/>
    <xf numFmtId="0" fontId="25" fillId="14" borderId="0" xfId="0" applyFont="1" applyFill="1"/>
    <xf numFmtId="0" fontId="25" fillId="14" borderId="0" xfId="0" applyFont="1" applyFill="1" applyAlignment="1">
      <alignment horizontal="center"/>
    </xf>
    <xf numFmtId="0" fontId="25" fillId="15" borderId="0" xfId="0" applyFont="1" applyFill="1"/>
    <xf numFmtId="0" fontId="25" fillId="15" borderId="0" xfId="0" applyFont="1" applyFill="1" applyAlignment="1">
      <alignment horizontal="center"/>
    </xf>
    <xf numFmtId="0" fontId="26" fillId="15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Alignment="1"/>
    <xf numFmtId="0" fontId="109" fillId="2" borderId="0" xfId="1" applyFont="1" applyFill="1" applyAlignment="1">
      <alignment vertical="top"/>
    </xf>
    <xf numFmtId="0" fontId="111" fillId="2" borderId="0" xfId="0" applyFont="1" applyFill="1" applyBorder="1" applyAlignment="1">
      <alignment vertical="top" wrapText="1"/>
    </xf>
    <xf numFmtId="0" fontId="64" fillId="2" borderId="0" xfId="0" quotePrefix="1" applyFont="1" applyFill="1" applyBorder="1" applyAlignment="1">
      <alignment vertical="center"/>
    </xf>
    <xf numFmtId="0" fontId="64" fillId="2" borderId="0" xfId="0" applyFont="1" applyFill="1" applyBorder="1"/>
    <xf numFmtId="0" fontId="64" fillId="2" borderId="0" xfId="0" applyFont="1" applyFill="1" applyBorder="1" applyAlignment="1">
      <alignment horizontal="left"/>
    </xf>
    <xf numFmtId="44" fontId="13" fillId="2" borderId="0" xfId="0" applyNumberFormat="1" applyFont="1" applyFill="1" applyBorder="1" applyAlignment="1">
      <alignment horizontal="center" vertical="center"/>
    </xf>
    <xf numFmtId="44" fontId="13" fillId="2" borderId="0" xfId="0" applyNumberFormat="1" applyFont="1" applyFill="1" applyBorder="1"/>
    <xf numFmtId="0" fontId="13" fillId="2" borderId="0" xfId="0" applyNumberFormat="1" applyFont="1" applyFill="1" applyBorder="1"/>
    <xf numFmtId="14" fontId="13" fillId="2" borderId="0" xfId="0" applyNumberFormat="1" applyFont="1" applyFill="1" applyBorder="1"/>
    <xf numFmtId="0" fontId="64" fillId="2" borderId="0" xfId="0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44" fontId="64" fillId="2" borderId="0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 wrapText="1"/>
    </xf>
    <xf numFmtId="44" fontId="13" fillId="2" borderId="0" xfId="0" applyNumberFormat="1" applyFont="1" applyFill="1" applyBorder="1" applyAlignment="1">
      <alignment vertical="center"/>
    </xf>
    <xf numFmtId="44" fontId="13" fillId="2" borderId="0" xfId="2" applyFont="1" applyFill="1" applyBorder="1" applyAlignment="1">
      <alignment horizontal="center"/>
    </xf>
    <xf numFmtId="44" fontId="13" fillId="2" borderId="0" xfId="0" quotePrefix="1" applyNumberFormat="1" applyFont="1" applyFill="1" applyBorder="1"/>
    <xf numFmtId="0" fontId="64" fillId="2" borderId="0" xfId="0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center" vertical="top"/>
    </xf>
    <xf numFmtId="0" fontId="13" fillId="2" borderId="0" xfId="2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0" fontId="108" fillId="2" borderId="0" xfId="0" applyFont="1" applyFill="1" applyBorder="1"/>
    <xf numFmtId="0" fontId="109" fillId="2" borderId="0" xfId="1" applyFont="1" applyFill="1" applyBorder="1"/>
    <xf numFmtId="0" fontId="13" fillId="2" borderId="0" xfId="0" applyFont="1" applyFill="1" applyBorder="1" applyAlignment="1">
      <alignment vertical="top"/>
    </xf>
    <xf numFmtId="0" fontId="0" fillId="14" borderId="0" xfId="0" applyFill="1"/>
    <xf numFmtId="0" fontId="0" fillId="2" borderId="0" xfId="0" applyFill="1" applyBorder="1" applyAlignment="1">
      <alignment horizontal="left"/>
    </xf>
    <xf numFmtId="3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31" fillId="2" borderId="0" xfId="0" applyFont="1" applyFill="1" applyBorder="1"/>
    <xf numFmtId="0" fontId="0" fillId="2" borderId="0" xfId="0" applyFill="1" applyBorder="1" applyAlignment="1">
      <alignment horizontal="center" vertical="top" wrapText="1"/>
    </xf>
    <xf numFmtId="0" fontId="113" fillId="2" borderId="0" xfId="0" applyFont="1" applyFill="1" applyBorder="1" applyAlignment="1">
      <alignment horizontal="center" vertical="top" wrapText="1"/>
    </xf>
    <xf numFmtId="3" fontId="114" fillId="2" borderId="0" xfId="0" applyNumberFormat="1" applyFont="1" applyFill="1" applyBorder="1" applyAlignment="1">
      <alignment horizontal="center"/>
    </xf>
    <xf numFmtId="0" fontId="34" fillId="13" borderId="0" xfId="0" applyFont="1" applyFill="1" applyAlignment="1">
      <alignment vertical="center"/>
    </xf>
    <xf numFmtId="0" fontId="34" fillId="13" borderId="0" xfId="0" applyFont="1" applyFill="1"/>
    <xf numFmtId="0" fontId="64" fillId="2" borderId="0" xfId="0" applyFont="1" applyFill="1" applyBorder="1" applyAlignment="1">
      <alignment vertical="top" wrapText="1"/>
    </xf>
    <xf numFmtId="0" fontId="18" fillId="2" borderId="0" xfId="0" applyFont="1" applyFill="1" applyBorder="1"/>
    <xf numFmtId="0" fontId="18" fillId="2" borderId="17" xfId="0" applyFont="1" applyFill="1" applyBorder="1" applyAlignment="1">
      <alignment horizontal="center" vertical="top" wrapText="1"/>
    </xf>
    <xf numFmtId="0" fontId="18" fillId="2" borderId="16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top" wrapText="1"/>
    </xf>
    <xf numFmtId="0" fontId="28" fillId="2" borderId="16" xfId="0" applyFont="1" applyFill="1" applyBorder="1" applyAlignment="1">
      <alignment horizontal="center" vertical="top" wrapText="1"/>
    </xf>
    <xf numFmtId="0" fontId="92" fillId="2" borderId="19" xfId="0" applyFont="1" applyFill="1" applyBorder="1" applyAlignment="1">
      <alignment horizontal="center" vertical="center"/>
    </xf>
    <xf numFmtId="1" fontId="92" fillId="2" borderId="1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2" fontId="28" fillId="2" borderId="3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123" fillId="2" borderId="0" xfId="0" applyFont="1" applyFill="1" applyAlignment="1">
      <alignment horizontal="center" vertical="top"/>
    </xf>
    <xf numFmtId="0" fontId="123" fillId="2" borderId="0" xfId="0" applyFont="1" applyFill="1" applyAlignment="1">
      <alignment horizontal="center"/>
    </xf>
    <xf numFmtId="1" fontId="40" fillId="4" borderId="0" xfId="0" applyNumberFormat="1" applyFont="1" applyFill="1" applyAlignment="1">
      <alignment horizontal="center"/>
    </xf>
    <xf numFmtId="1" fontId="40" fillId="12" borderId="0" xfId="0" applyNumberFormat="1" applyFont="1" applyFill="1" applyAlignment="1">
      <alignment horizontal="center"/>
    </xf>
    <xf numFmtId="0" fontId="40" fillId="7" borderId="4" xfId="0" applyFont="1" applyFill="1" applyBorder="1"/>
    <xf numFmtId="0" fontId="40" fillId="7" borderId="15" xfId="0" applyFont="1" applyFill="1" applyBorder="1"/>
    <xf numFmtId="9" fontId="40" fillId="7" borderId="15" xfId="0" applyNumberFormat="1" applyFont="1" applyFill="1" applyBorder="1"/>
    <xf numFmtId="0" fontId="40" fillId="12" borderId="15" xfId="0" applyFont="1" applyFill="1" applyBorder="1"/>
    <xf numFmtId="9" fontId="40" fillId="12" borderId="15" xfId="0" applyNumberFormat="1" applyFont="1" applyFill="1" applyBorder="1"/>
    <xf numFmtId="0" fontId="40" fillId="12" borderId="5" xfId="0" applyFont="1" applyFill="1" applyBorder="1"/>
    <xf numFmtId="0" fontId="40" fillId="2" borderId="0" xfId="0" applyFont="1" applyFill="1"/>
    <xf numFmtId="1" fontId="124" fillId="7" borderId="0" xfId="0" applyNumberFormat="1" applyFont="1" applyFill="1" applyAlignment="1">
      <alignment horizontal="left"/>
    </xf>
    <xf numFmtId="1" fontId="124" fillId="12" borderId="0" xfId="0" applyNumberFormat="1" applyFont="1" applyFill="1" applyAlignment="1">
      <alignment horizontal="right"/>
    </xf>
    <xf numFmtId="0" fontId="126" fillId="2" borderId="0" xfId="0" applyFont="1" applyFill="1" applyBorder="1" applyAlignment="1">
      <alignment wrapText="1"/>
    </xf>
    <xf numFmtId="0" fontId="115" fillId="2" borderId="0" xfId="0" applyFont="1" applyFill="1" applyAlignment="1">
      <alignment horizontal="center"/>
    </xf>
    <xf numFmtId="0" fontId="115" fillId="2" borderId="0" xfId="0" applyFont="1" applyFill="1"/>
    <xf numFmtId="0" fontId="127" fillId="2" borderId="0" xfId="0" applyFont="1" applyFill="1" applyAlignment="1">
      <alignment horizontal="center"/>
    </xf>
    <xf numFmtId="0" fontId="12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1" fontId="85" fillId="4" borderId="0" xfId="0" applyNumberFormat="1" applyFont="1" applyFill="1" applyAlignment="1">
      <alignment horizontal="center"/>
    </xf>
    <xf numFmtId="1" fontId="85" fillId="12" borderId="0" xfId="0" applyNumberFormat="1" applyFont="1" applyFill="1" applyAlignment="1">
      <alignment horizontal="center"/>
    </xf>
    <xf numFmtId="0" fontId="40" fillId="7" borderId="0" xfId="0" applyFont="1" applyFill="1" applyBorder="1" applyAlignment="1">
      <alignment horizontal="center" vertical="center"/>
    </xf>
    <xf numFmtId="1" fontId="40" fillId="7" borderId="0" xfId="0" applyNumberFormat="1" applyFont="1" applyFill="1" applyBorder="1" applyAlignment="1">
      <alignment horizontal="center" vertical="center"/>
    </xf>
    <xf numFmtId="0" fontId="124" fillId="3" borderId="0" xfId="0" applyFont="1" applyFill="1" applyBorder="1" applyAlignment="1">
      <alignment horizontal="center" vertical="center"/>
    </xf>
    <xf numFmtId="1" fontId="124" fillId="3" borderId="0" xfId="0" applyNumberFormat="1" applyFont="1" applyFill="1" applyBorder="1" applyAlignment="1">
      <alignment horizontal="center" vertical="center"/>
    </xf>
    <xf numFmtId="0" fontId="40" fillId="12" borderId="0" xfId="0" applyFont="1" applyFill="1" applyBorder="1" applyAlignment="1">
      <alignment horizontal="center" vertical="center"/>
    </xf>
    <xf numFmtId="1" fontId="40" fillId="12" borderId="0" xfId="0" applyNumberFormat="1" applyFont="1" applyFill="1" applyBorder="1" applyAlignment="1">
      <alignment horizontal="center" vertical="center"/>
    </xf>
    <xf numFmtId="0" fontId="125" fillId="20" borderId="0" xfId="0" applyFont="1" applyFill="1" applyBorder="1" applyAlignment="1">
      <alignment wrapText="1"/>
    </xf>
    <xf numFmtId="0" fontId="125" fillId="2" borderId="0" xfId="0" applyFont="1" applyFill="1" applyBorder="1" applyAlignment="1">
      <alignment wrapText="1"/>
    </xf>
    <xf numFmtId="0" fontId="40" fillId="2" borderId="0" xfId="0" applyFont="1" applyFill="1" applyBorder="1" applyAlignment="1">
      <alignment horizontal="center" vertical="center"/>
    </xf>
    <xf numFmtId="0" fontId="124" fillId="2" borderId="0" xfId="0" applyFont="1" applyFill="1" applyBorder="1" applyAlignment="1">
      <alignment horizontal="center" vertical="center"/>
    </xf>
    <xf numFmtId="0" fontId="129" fillId="2" borderId="0" xfId="0" applyFont="1" applyFill="1" applyBorder="1"/>
    <xf numFmtId="0" fontId="129" fillId="2" borderId="13" xfId="0" applyFont="1" applyFill="1" applyBorder="1" applyAlignment="1">
      <alignment horizontal="center" vertical="center"/>
    </xf>
    <xf numFmtId="1" fontId="129" fillId="2" borderId="13" xfId="0" applyNumberFormat="1" applyFont="1" applyFill="1" applyBorder="1" applyAlignment="1">
      <alignment horizontal="center" vertical="center"/>
    </xf>
    <xf numFmtId="0" fontId="131" fillId="2" borderId="0" xfId="0" applyFont="1" applyFill="1"/>
    <xf numFmtId="0" fontId="131" fillId="2" borderId="0" xfId="0" applyFont="1" applyFill="1" applyAlignment="1">
      <alignment horizontal="right"/>
    </xf>
    <xf numFmtId="0" fontId="131" fillId="2" borderId="0" xfId="0" applyFont="1" applyFill="1" applyAlignment="1">
      <alignment vertical="center"/>
    </xf>
    <xf numFmtId="0" fontId="132" fillId="2" borderId="0" xfId="0" applyFont="1" applyFill="1" applyAlignment="1">
      <alignment vertical="center"/>
    </xf>
    <xf numFmtId="0" fontId="132" fillId="2" borderId="0" xfId="0" applyFont="1" applyFill="1" applyAlignment="1">
      <alignment horizontal="right" vertical="center"/>
    </xf>
    <xf numFmtId="0" fontId="124" fillId="2" borderId="0" xfId="0" quotePrefix="1" applyFont="1" applyFill="1"/>
    <xf numFmtId="164" fontId="0" fillId="2" borderId="0" xfId="0" quotePrefix="1" applyNumberFormat="1" applyFill="1"/>
    <xf numFmtId="0" fontId="133" fillId="15" borderId="0" xfId="0" applyFont="1" applyFill="1"/>
    <xf numFmtId="0" fontId="0" fillId="2" borderId="39" xfId="0" applyFill="1" applyBorder="1"/>
    <xf numFmtId="164" fontId="40" fillId="2" borderId="0" xfId="0" quotePrefix="1" applyNumberFormat="1" applyFont="1" applyFill="1"/>
    <xf numFmtId="0" fontId="0" fillId="2" borderId="2" xfId="0" applyFill="1" applyBorder="1"/>
    <xf numFmtId="0" fontId="82" fillId="2" borderId="2" xfId="0" applyFont="1" applyFill="1" applyBorder="1"/>
    <xf numFmtId="0" fontId="67" fillId="15" borderId="0" xfId="0" applyFont="1" applyFill="1"/>
    <xf numFmtId="0" fontId="132" fillId="15" borderId="0" xfId="0" applyFont="1" applyFill="1"/>
    <xf numFmtId="0" fontId="135" fillId="2" borderId="0" xfId="0" applyFont="1" applyFill="1" applyAlignment="1">
      <alignment horizontal="right"/>
    </xf>
    <xf numFmtId="0" fontId="94" fillId="2" borderId="0" xfId="0" applyFont="1" applyFill="1"/>
    <xf numFmtId="0" fontId="94" fillId="2" borderId="0" xfId="0" applyFont="1" applyFill="1" applyAlignment="1">
      <alignment horizontal="center"/>
    </xf>
    <xf numFmtId="0" fontId="135" fillId="2" borderId="10" xfId="0" applyFont="1" applyFill="1" applyBorder="1" applyAlignment="1">
      <alignment horizontal="right"/>
    </xf>
    <xf numFmtId="0" fontId="94" fillId="2" borderId="10" xfId="0" applyFont="1" applyFill="1" applyBorder="1"/>
    <xf numFmtId="0" fontId="134" fillId="2" borderId="0" xfId="0" applyFont="1" applyFill="1" applyAlignment="1">
      <alignment horizontal="center"/>
    </xf>
    <xf numFmtId="0" fontId="138" fillId="2" borderId="0" xfId="0" applyFont="1" applyFill="1"/>
    <xf numFmtId="0" fontId="0" fillId="2" borderId="9" xfId="0" applyFill="1" applyBorder="1"/>
    <xf numFmtId="0" fontId="139" fillId="2" borderId="0" xfId="0" applyFont="1" applyFill="1" applyAlignment="1">
      <alignment vertical="center"/>
    </xf>
    <xf numFmtId="0" fontId="96" fillId="2" borderId="0" xfId="0" applyFont="1" applyFill="1"/>
    <xf numFmtId="0" fontId="140" fillId="2" borderId="0" xfId="0" applyFont="1" applyFill="1" applyAlignment="1">
      <alignment vertical="center"/>
    </xf>
    <xf numFmtId="0" fontId="139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57" fillId="2" borderId="0" xfId="0" applyFont="1" applyFill="1" applyAlignment="1">
      <alignment horizontal="center" vertical="center"/>
    </xf>
    <xf numFmtId="0" fontId="141" fillId="2" borderId="0" xfId="0" applyFont="1" applyFill="1"/>
    <xf numFmtId="0" fontId="14" fillId="15" borderId="0" xfId="1" applyFill="1" applyAlignment="1" applyProtection="1"/>
    <xf numFmtId="0" fontId="13" fillId="2" borderId="0" xfId="0" applyFont="1" applyFill="1" applyAlignment="1">
      <alignment horizontal="center"/>
    </xf>
    <xf numFmtId="0" fontId="31" fillId="2" borderId="0" xfId="0" applyFont="1" applyFill="1" applyAlignment="1">
      <alignment horizontal="left" wrapText="1"/>
    </xf>
    <xf numFmtId="0" fontId="130" fillId="2" borderId="0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wrapText="1"/>
    </xf>
    <xf numFmtId="0" fontId="41" fillId="2" borderId="0" xfId="0" applyFont="1" applyFill="1" applyAlignment="1">
      <alignment horizontal="left" vertical="center" wrapText="1"/>
    </xf>
    <xf numFmtId="0" fontId="32" fillId="11" borderId="0" xfId="0" applyFont="1" applyFill="1" applyBorder="1" applyAlignment="1">
      <alignment horizontal="center" vertical="top" wrapText="1"/>
    </xf>
    <xf numFmtId="0" fontId="32" fillId="11" borderId="10" xfId="0" applyFont="1" applyFill="1" applyBorder="1" applyAlignment="1">
      <alignment horizontal="center" vertical="top" wrapText="1"/>
    </xf>
    <xf numFmtId="0" fontId="34" fillId="13" borderId="0" xfId="0" applyFont="1" applyFill="1" applyBorder="1" applyAlignment="1">
      <alignment horizontal="center" vertical="center" wrapText="1"/>
    </xf>
    <xf numFmtId="0" fontId="74" fillId="2" borderId="0" xfId="0" applyFont="1" applyFill="1" applyAlignment="1">
      <alignment horizontal="left" vertical="top" wrapText="1"/>
    </xf>
    <xf numFmtId="0" fontId="32" fillId="11" borderId="3" xfId="0" applyFont="1" applyFill="1" applyBorder="1" applyAlignment="1">
      <alignment horizontal="left" vertical="center" wrapText="1"/>
    </xf>
    <xf numFmtId="0" fontId="32" fillId="11" borderId="12" xfId="0" applyFont="1" applyFill="1" applyBorder="1" applyAlignment="1">
      <alignment horizontal="left" vertical="center" wrapText="1"/>
    </xf>
    <xf numFmtId="0" fontId="32" fillId="11" borderId="2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left" wrapText="1"/>
    </xf>
    <xf numFmtId="0" fontId="28" fillId="2" borderId="12" xfId="0" applyFont="1" applyFill="1" applyBorder="1" applyAlignment="1">
      <alignment horizontal="left" wrapText="1"/>
    </xf>
    <xf numFmtId="0" fontId="56" fillId="2" borderId="13" xfId="0" applyFont="1" applyFill="1" applyBorder="1" applyAlignment="1">
      <alignment horizontal="center" vertical="top" wrapText="1"/>
    </xf>
    <xf numFmtId="0" fontId="56" fillId="2" borderId="0" xfId="0" applyFont="1" applyFill="1" applyBorder="1" applyAlignment="1">
      <alignment horizontal="center" vertical="top" wrapText="1"/>
    </xf>
    <xf numFmtId="0" fontId="56" fillId="2" borderId="10" xfId="0" applyFont="1" applyFill="1" applyBorder="1" applyAlignment="1">
      <alignment horizontal="center" vertical="top" wrapText="1"/>
    </xf>
    <xf numFmtId="0" fontId="74" fillId="2" borderId="7" xfId="0" applyFont="1" applyFill="1" applyBorder="1" applyAlignment="1">
      <alignment horizontal="center" vertical="top" wrapText="1"/>
    </xf>
    <xf numFmtId="0" fontId="74" fillId="2" borderId="18" xfId="0" applyFont="1" applyFill="1" applyBorder="1" applyAlignment="1">
      <alignment horizontal="center" vertical="top" wrapText="1"/>
    </xf>
    <xf numFmtId="0" fontId="74" fillId="2" borderId="8" xfId="0" applyFont="1" applyFill="1" applyBorder="1" applyAlignment="1">
      <alignment horizontal="center" vertical="top" wrapText="1"/>
    </xf>
    <xf numFmtId="0" fontId="80" fillId="2" borderId="7" xfId="0" applyFont="1" applyFill="1" applyBorder="1" applyAlignment="1">
      <alignment horizontal="center" vertical="top" wrapText="1"/>
    </xf>
    <xf numFmtId="0" fontId="80" fillId="2" borderId="18" xfId="0" applyFont="1" applyFill="1" applyBorder="1" applyAlignment="1">
      <alignment horizontal="center" vertical="top" wrapText="1"/>
    </xf>
    <xf numFmtId="0" fontId="80" fillId="2" borderId="8" xfId="0" applyFont="1" applyFill="1" applyBorder="1" applyAlignment="1">
      <alignment horizontal="center" vertical="top" wrapText="1"/>
    </xf>
    <xf numFmtId="0" fontId="56" fillId="2" borderId="7" xfId="0" applyFont="1" applyFill="1" applyBorder="1" applyAlignment="1">
      <alignment horizontal="center" vertical="top" wrapText="1"/>
    </xf>
    <xf numFmtId="0" fontId="56" fillId="2" borderId="18" xfId="0" applyFont="1" applyFill="1" applyBorder="1" applyAlignment="1">
      <alignment horizontal="center" vertical="top" wrapText="1"/>
    </xf>
    <xf numFmtId="0" fontId="56" fillId="2" borderId="8" xfId="0" applyFont="1" applyFill="1" applyBorder="1" applyAlignment="1">
      <alignment horizontal="center" vertical="top" wrapText="1"/>
    </xf>
    <xf numFmtId="0" fontId="80" fillId="2" borderId="14" xfId="0" applyFont="1" applyFill="1" applyBorder="1" applyAlignment="1">
      <alignment horizontal="left" vertical="top" wrapText="1"/>
    </xf>
    <xf numFmtId="0" fontId="80" fillId="2" borderId="30" xfId="0" applyFont="1" applyFill="1" applyBorder="1" applyAlignment="1">
      <alignment horizontal="left" vertical="top" wrapText="1"/>
    </xf>
    <xf numFmtId="0" fontId="80" fillId="2" borderId="11" xfId="0" applyFont="1" applyFill="1" applyBorder="1" applyAlignment="1">
      <alignment horizontal="left" vertical="top" wrapText="1"/>
    </xf>
    <xf numFmtId="0" fontId="73" fillId="2" borderId="0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left" vertical="top" wrapText="1"/>
    </xf>
    <xf numFmtId="0" fontId="33" fillId="11" borderId="0" xfId="0" applyFont="1" applyFill="1" applyBorder="1" applyAlignment="1">
      <alignment horizontal="left" vertical="top" wrapText="1"/>
    </xf>
    <xf numFmtId="0" fontId="113" fillId="2" borderId="0" xfId="0" applyFont="1" applyFill="1" applyAlignment="1">
      <alignment horizontal="center"/>
    </xf>
    <xf numFmtId="0" fontId="56" fillId="2" borderId="0" xfId="0" applyFont="1" applyFill="1" applyBorder="1" applyAlignment="1">
      <alignment horizontal="left" vertical="top" wrapText="1"/>
    </xf>
    <xf numFmtId="0" fontId="116" fillId="2" borderId="0" xfId="0" applyFont="1" applyFill="1" applyBorder="1" applyAlignment="1">
      <alignment horizontal="left" vertical="center" wrapText="1"/>
    </xf>
    <xf numFmtId="0" fontId="119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85" fillId="3" borderId="0" xfId="0" applyFont="1" applyFill="1" applyBorder="1" applyAlignment="1">
      <alignment horizontal="center" vertical="center" wrapText="1"/>
    </xf>
    <xf numFmtId="0" fontId="115" fillId="7" borderId="0" xfId="0" applyFont="1" applyFill="1" applyBorder="1" applyAlignment="1">
      <alignment horizontal="center" vertical="center" wrapText="1"/>
    </xf>
    <xf numFmtId="0" fontId="40" fillId="1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wrapText="1"/>
    </xf>
    <xf numFmtId="0" fontId="125" fillId="20" borderId="30" xfId="0" applyFont="1" applyFill="1" applyBorder="1" applyAlignment="1">
      <alignment horizontal="center" wrapText="1"/>
    </xf>
    <xf numFmtId="0" fontId="125" fillId="20" borderId="0" xfId="0" applyFont="1" applyFill="1" applyBorder="1" applyAlignment="1">
      <alignment horizontal="center" wrapText="1"/>
    </xf>
    <xf numFmtId="0" fontId="25" fillId="2" borderId="11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60" fillId="14" borderId="25" xfId="0" applyFont="1" applyFill="1" applyBorder="1" applyAlignment="1">
      <alignment horizontal="left" wrapText="1"/>
    </xf>
    <xf numFmtId="0" fontId="60" fillId="14" borderId="24" xfId="0" applyFont="1" applyFill="1" applyBorder="1" applyAlignment="1">
      <alignment horizontal="left" wrapText="1"/>
    </xf>
    <xf numFmtId="0" fontId="60" fillId="14" borderId="26" xfId="0" applyFont="1" applyFill="1" applyBorder="1" applyAlignment="1">
      <alignment horizontal="left" wrapText="1"/>
    </xf>
    <xf numFmtId="0" fontId="60" fillId="14" borderId="27" xfId="0" applyFont="1" applyFill="1" applyBorder="1" applyAlignment="1">
      <alignment horizontal="left" wrapText="1"/>
    </xf>
    <xf numFmtId="0" fontId="60" fillId="14" borderId="0" xfId="0" applyFont="1" applyFill="1" applyBorder="1" applyAlignment="1">
      <alignment horizontal="left" wrapText="1"/>
    </xf>
    <xf numFmtId="0" fontId="60" fillId="14" borderId="28" xfId="0" applyFont="1" applyFill="1" applyBorder="1" applyAlignment="1">
      <alignment horizontal="left" wrapText="1"/>
    </xf>
    <xf numFmtId="0" fontId="60" fillId="14" borderId="22" xfId="0" applyFont="1" applyFill="1" applyBorder="1" applyAlignment="1">
      <alignment horizontal="left" wrapText="1"/>
    </xf>
    <xf numFmtId="0" fontId="60" fillId="14" borderId="9" xfId="0" applyFont="1" applyFill="1" applyBorder="1" applyAlignment="1">
      <alignment horizontal="left" wrapText="1"/>
    </xf>
    <xf numFmtId="0" fontId="60" fillId="14" borderId="29" xfId="0" applyFont="1" applyFill="1" applyBorder="1" applyAlignment="1">
      <alignment horizontal="left" wrapText="1"/>
    </xf>
    <xf numFmtId="0" fontId="60" fillId="14" borderId="25" xfId="0" applyFont="1" applyFill="1" applyBorder="1" applyAlignment="1">
      <alignment horizontal="left" vertical="top" wrapText="1"/>
    </xf>
    <xf numFmtId="0" fontId="60" fillId="14" borderId="24" xfId="0" applyFont="1" applyFill="1" applyBorder="1" applyAlignment="1">
      <alignment horizontal="left" vertical="top" wrapText="1"/>
    </xf>
    <xf numFmtId="0" fontId="60" fillId="14" borderId="26" xfId="0" applyFont="1" applyFill="1" applyBorder="1" applyAlignment="1">
      <alignment horizontal="left" vertical="top" wrapText="1"/>
    </xf>
    <xf numFmtId="0" fontId="60" fillId="14" borderId="27" xfId="0" applyFont="1" applyFill="1" applyBorder="1" applyAlignment="1">
      <alignment horizontal="left" vertical="top" wrapText="1"/>
    </xf>
    <xf numFmtId="0" fontId="60" fillId="14" borderId="0" xfId="0" applyFont="1" applyFill="1" applyBorder="1" applyAlignment="1">
      <alignment horizontal="left" vertical="top" wrapText="1"/>
    </xf>
    <xf numFmtId="0" fontId="60" fillId="14" borderId="28" xfId="0" applyFont="1" applyFill="1" applyBorder="1" applyAlignment="1">
      <alignment horizontal="left" vertical="top" wrapText="1"/>
    </xf>
    <xf numFmtId="0" fontId="60" fillId="14" borderId="22" xfId="0" applyFont="1" applyFill="1" applyBorder="1" applyAlignment="1">
      <alignment horizontal="left" vertical="top" wrapText="1"/>
    </xf>
    <xf numFmtId="0" fontId="60" fillId="14" borderId="9" xfId="0" applyFont="1" applyFill="1" applyBorder="1" applyAlignment="1">
      <alignment horizontal="left" vertical="top" wrapText="1"/>
    </xf>
    <xf numFmtId="0" fontId="60" fillId="14" borderId="29" xfId="0" applyFont="1" applyFill="1" applyBorder="1" applyAlignment="1">
      <alignment horizontal="left" vertical="top" wrapText="1"/>
    </xf>
    <xf numFmtId="0" fontId="60" fillId="14" borderId="25" xfId="0" applyFont="1" applyFill="1" applyBorder="1" applyAlignment="1">
      <alignment horizontal="left" vertical="center" wrapText="1"/>
    </xf>
    <xf numFmtId="0" fontId="60" fillId="14" borderId="24" xfId="0" applyFont="1" applyFill="1" applyBorder="1" applyAlignment="1">
      <alignment horizontal="left" vertical="center" wrapText="1"/>
    </xf>
    <xf numFmtId="0" fontId="60" fillId="14" borderId="26" xfId="0" applyFont="1" applyFill="1" applyBorder="1" applyAlignment="1">
      <alignment horizontal="left" vertical="center" wrapText="1"/>
    </xf>
    <xf numFmtId="0" fontId="60" fillId="14" borderId="27" xfId="0" applyFont="1" applyFill="1" applyBorder="1" applyAlignment="1">
      <alignment horizontal="left" vertical="center" wrapText="1"/>
    </xf>
    <xf numFmtId="0" fontId="60" fillId="14" borderId="0" xfId="0" applyFont="1" applyFill="1" applyBorder="1" applyAlignment="1">
      <alignment horizontal="left" vertical="center" wrapText="1"/>
    </xf>
    <xf numFmtId="0" fontId="60" fillId="14" borderId="28" xfId="0" applyFont="1" applyFill="1" applyBorder="1" applyAlignment="1">
      <alignment horizontal="left" vertical="center" wrapText="1"/>
    </xf>
    <xf numFmtId="0" fontId="60" fillId="14" borderId="22" xfId="0" applyFont="1" applyFill="1" applyBorder="1" applyAlignment="1">
      <alignment horizontal="left" vertical="center" wrapText="1"/>
    </xf>
    <xf numFmtId="0" fontId="60" fillId="14" borderId="9" xfId="0" applyFont="1" applyFill="1" applyBorder="1" applyAlignment="1">
      <alignment horizontal="left" vertical="center" wrapText="1"/>
    </xf>
    <xf numFmtId="0" fontId="60" fillId="14" borderId="29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/>
    </xf>
    <xf numFmtId="0" fontId="40" fillId="2" borderId="9" xfId="0" applyFont="1" applyFill="1" applyBorder="1" applyAlignment="1">
      <alignment horizontal="left" vertical="center"/>
    </xf>
    <xf numFmtId="0" fontId="32" fillId="14" borderId="0" xfId="0" applyFont="1" applyFill="1" applyAlignment="1">
      <alignment horizontal="left" vertical="top" wrapText="1"/>
    </xf>
    <xf numFmtId="0" fontId="0" fillId="18" borderId="24" xfId="0" applyFill="1" applyBorder="1" applyAlignment="1">
      <alignment horizontal="left" vertical="top" wrapText="1"/>
    </xf>
    <xf numFmtId="0" fontId="0" fillId="18" borderId="26" xfId="0" applyFill="1" applyBorder="1" applyAlignment="1">
      <alignment horizontal="left" vertical="top" wrapText="1"/>
    </xf>
    <xf numFmtId="0" fontId="0" fillId="18" borderId="0" xfId="0" applyFill="1" applyBorder="1" applyAlignment="1">
      <alignment horizontal="left" vertical="top" wrapText="1"/>
    </xf>
    <xf numFmtId="0" fontId="0" fillId="18" borderId="28" xfId="0" applyFill="1" applyBorder="1" applyAlignment="1">
      <alignment horizontal="left" vertical="top" wrapText="1"/>
    </xf>
    <xf numFmtId="0" fontId="0" fillId="18" borderId="9" xfId="0" applyFill="1" applyBorder="1" applyAlignment="1">
      <alignment horizontal="left" vertical="top" wrapText="1"/>
    </xf>
    <xf numFmtId="0" fontId="0" fillId="18" borderId="29" xfId="0" applyFill="1" applyBorder="1" applyAlignment="1">
      <alignment horizontal="left" vertical="top" wrapText="1"/>
    </xf>
    <xf numFmtId="0" fontId="98" fillId="16" borderId="36" xfId="0" applyFont="1" applyFill="1" applyBorder="1" applyAlignment="1">
      <alignment horizontal="right" vertical="center" wrapText="1"/>
    </xf>
    <xf numFmtId="0" fontId="98" fillId="16" borderId="0" xfId="0" applyFont="1" applyFill="1" applyBorder="1" applyAlignment="1">
      <alignment horizontal="right" vertical="center" wrapText="1"/>
    </xf>
    <xf numFmtId="0" fontId="59" fillId="2" borderId="9" xfId="0" applyFont="1" applyFill="1" applyBorder="1" applyAlignment="1">
      <alignment horizontal="left" wrapText="1"/>
    </xf>
    <xf numFmtId="0" fontId="99" fillId="2" borderId="9" xfId="0" applyFont="1" applyFill="1" applyBorder="1" applyAlignment="1">
      <alignment horizontal="center" wrapText="1"/>
    </xf>
    <xf numFmtId="0" fontId="41" fillId="2" borderId="9" xfId="0" applyFont="1" applyFill="1" applyBorder="1" applyAlignment="1">
      <alignment horizontal="center" wrapText="1"/>
    </xf>
    <xf numFmtId="0" fontId="61" fillId="18" borderId="25" xfId="0" applyFont="1" applyFill="1" applyBorder="1" applyAlignment="1">
      <alignment horizontal="left" vertical="top"/>
    </xf>
    <xf numFmtId="0" fontId="61" fillId="18" borderId="24" xfId="0" applyFont="1" applyFill="1" applyBorder="1" applyAlignment="1">
      <alignment horizontal="left" vertical="top"/>
    </xf>
    <xf numFmtId="0" fontId="61" fillId="18" borderId="26" xfId="0" applyFont="1" applyFill="1" applyBorder="1" applyAlignment="1">
      <alignment horizontal="left" vertical="top"/>
    </xf>
    <xf numFmtId="0" fontId="61" fillId="18" borderId="27" xfId="0" applyFont="1" applyFill="1" applyBorder="1" applyAlignment="1">
      <alignment horizontal="left" vertical="top"/>
    </xf>
    <xf numFmtId="0" fontId="61" fillId="18" borderId="0" xfId="0" applyFont="1" applyFill="1" applyBorder="1" applyAlignment="1">
      <alignment horizontal="left" vertical="top"/>
    </xf>
    <xf numFmtId="0" fontId="61" fillId="18" borderId="28" xfId="0" applyFont="1" applyFill="1" applyBorder="1" applyAlignment="1">
      <alignment horizontal="left" vertical="top"/>
    </xf>
    <xf numFmtId="0" fontId="61" fillId="18" borderId="22" xfId="0" applyFont="1" applyFill="1" applyBorder="1" applyAlignment="1">
      <alignment horizontal="left" vertical="top"/>
    </xf>
    <xf numFmtId="0" fontId="61" fillId="18" borderId="9" xfId="0" applyFont="1" applyFill="1" applyBorder="1" applyAlignment="1">
      <alignment horizontal="left" vertical="top"/>
    </xf>
    <xf numFmtId="0" fontId="61" fillId="18" borderId="29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left" vertical="center" wrapText="1"/>
    </xf>
    <xf numFmtId="0" fontId="61" fillId="18" borderId="31" xfId="0" applyFont="1" applyFill="1" applyBorder="1" applyAlignment="1">
      <alignment horizontal="left" vertical="top" wrapText="1"/>
    </xf>
    <xf numFmtId="0" fontId="61" fillId="18" borderId="32" xfId="0" applyFont="1" applyFill="1" applyBorder="1" applyAlignment="1">
      <alignment horizontal="left" vertical="top" wrapText="1"/>
    </xf>
    <xf numFmtId="0" fontId="61" fillId="18" borderId="23" xfId="0" applyFont="1" applyFill="1" applyBorder="1" applyAlignment="1">
      <alignment horizontal="left" vertical="top" wrapText="1"/>
    </xf>
    <xf numFmtId="0" fontId="140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28" fillId="2" borderId="0" xfId="0" applyFont="1" applyFill="1" applyAlignment="1">
      <alignment horizontal="center"/>
    </xf>
    <xf numFmtId="0" fontId="139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right" vertical="center"/>
    </xf>
    <xf numFmtId="0" fontId="57" fillId="2" borderId="9" xfId="0" applyFont="1" applyFill="1" applyBorder="1" applyAlignment="1">
      <alignment horizontal="right" vertical="center"/>
    </xf>
    <xf numFmtId="0" fontId="8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81" fillId="2" borderId="13" xfId="0" applyFont="1" applyFill="1" applyBorder="1" applyAlignment="1">
      <alignment horizontal="center"/>
    </xf>
    <xf numFmtId="0" fontId="137" fillId="2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1" fontId="134" fillId="2" borderId="1" xfId="0" applyNumberFormat="1" applyFont="1" applyFill="1" applyBorder="1" applyAlignment="1">
      <alignment horizontal="center"/>
    </xf>
    <xf numFmtId="1" fontId="134" fillId="2" borderId="3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94" fillId="2" borderId="1" xfId="0" applyNumberFormat="1" applyFont="1" applyFill="1" applyBorder="1" applyAlignment="1">
      <alignment horizontal="center"/>
    </xf>
    <xf numFmtId="1" fontId="94" fillId="2" borderId="3" xfId="0" applyNumberFormat="1" applyFont="1" applyFill="1" applyBorder="1" applyAlignment="1">
      <alignment horizontal="center"/>
    </xf>
    <xf numFmtId="0" fontId="48" fillId="2" borderId="0" xfId="0" applyFont="1" applyFill="1" applyAlignment="1">
      <alignment horizontal="left" vertical="center"/>
    </xf>
    <xf numFmtId="0" fontId="136" fillId="2" borderId="0" xfId="0" applyFont="1" applyFill="1" applyAlignment="1">
      <alignment horizontal="center" vertical="center"/>
    </xf>
    <xf numFmtId="0" fontId="135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center" vertical="center" wrapText="1"/>
    </xf>
    <xf numFmtId="0" fontId="64" fillId="2" borderId="0" xfId="0" applyFont="1" applyFill="1" applyBorder="1" applyAlignment="1">
      <alignment horizontal="left" vertical="center" wrapText="1"/>
    </xf>
    <xf numFmtId="0" fontId="111" fillId="2" borderId="0" xfId="0" applyFont="1" applyFill="1" applyBorder="1" applyAlignment="1">
      <alignment horizontal="left" vertical="top" wrapText="1"/>
    </xf>
    <xf numFmtId="0" fontId="67" fillId="2" borderId="0" xfId="0" applyFont="1" applyFill="1" applyBorder="1" applyAlignment="1">
      <alignment horizontal="left" vertical="top" wrapText="1"/>
    </xf>
    <xf numFmtId="0" fontId="64" fillId="2" borderId="0" xfId="0" applyFont="1" applyFill="1" applyBorder="1" applyAlignment="1">
      <alignment horizontal="left" vertical="top" wrapText="1"/>
    </xf>
    <xf numFmtId="0" fontId="64" fillId="2" borderId="0" xfId="0" quotePrefix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13" fillId="2" borderId="27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29" xfId="0" applyFont="1" applyFill="1" applyBorder="1" applyAlignment="1">
      <alignment horizontal="left" vertical="top" wrapText="1"/>
    </xf>
    <xf numFmtId="0" fontId="82" fillId="2" borderId="0" xfId="0" applyFont="1" applyFill="1" applyAlignment="1">
      <alignment horizontal="right"/>
    </xf>
    <xf numFmtId="0" fontId="96" fillId="2" borderId="0" xfId="0" applyFont="1" applyFill="1" applyAlignment="1">
      <alignment horizontal="right"/>
    </xf>
    <xf numFmtId="0" fontId="85" fillId="2" borderId="0" xfId="0" applyFont="1" applyFill="1"/>
    <xf numFmtId="0" fontId="142" fillId="2" borderId="0" xfId="0" applyFont="1" applyFill="1"/>
    <xf numFmtId="0" fontId="50" fillId="2" borderId="0" xfId="0" applyFont="1" applyFill="1"/>
    <xf numFmtId="0" fontId="143" fillId="2" borderId="0" xfId="0" applyFont="1" applyFill="1" applyAlignment="1">
      <alignment horizontal="right" vertical="center"/>
    </xf>
    <xf numFmtId="0" fontId="142" fillId="2" borderId="13" xfId="0" applyFont="1" applyFill="1" applyBorder="1" applyAlignment="1">
      <alignment horizontal="left"/>
    </xf>
    <xf numFmtId="0" fontId="142" fillId="2" borderId="0" xfId="0" applyFont="1" applyFill="1" applyAlignment="1">
      <alignment horizontal="center"/>
    </xf>
    <xf numFmtId="0" fontId="144" fillId="2" borderId="0" xfId="0" applyFont="1" applyFill="1"/>
    <xf numFmtId="164" fontId="145" fillId="2" borderId="0" xfId="0" applyNumberFormat="1" applyFont="1" applyFill="1" applyAlignment="1">
      <alignment horizontal="left"/>
    </xf>
    <xf numFmtId="0" fontId="13" fillId="15" borderId="0" xfId="0" applyFont="1" applyFill="1" applyBorder="1"/>
    <xf numFmtId="0" fontId="13" fillId="0" borderId="0" xfId="0" applyFont="1" applyBorder="1"/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colors>
    <mruColors>
      <color rgb="FF005696"/>
      <color rgb="FFFFFF66"/>
      <color rgb="FF85F388"/>
      <color rgb="FFBCFAC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133349</xdr:rowOff>
    </xdr:from>
    <xdr:to>
      <xdr:col>14</xdr:col>
      <xdr:colOff>1762125</xdr:colOff>
      <xdr:row>29</xdr:row>
      <xdr:rowOff>31181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FE6936FA-7590-4285-9550-4EC2D2BCCA23}"/>
            </a:ext>
          </a:extLst>
        </xdr:cNvPr>
        <xdr:cNvGrpSpPr/>
      </xdr:nvGrpSpPr>
      <xdr:grpSpPr>
        <a:xfrm>
          <a:off x="409575" y="400049"/>
          <a:ext cx="7410450" cy="4955607"/>
          <a:chOff x="609600" y="523875"/>
          <a:chExt cx="7772400" cy="5384232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5A59C566-1597-45F2-B534-D09621BD79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600" y="523875"/>
            <a:ext cx="7772400" cy="5384232"/>
          </a:xfrm>
          <a:prstGeom prst="rect">
            <a:avLst/>
          </a:prstGeom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56AD537C-6563-4507-A053-101C56A29D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28951" y="1038225"/>
            <a:ext cx="5105399" cy="274319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</xdr:row>
      <xdr:rowOff>28576</xdr:rowOff>
    </xdr:from>
    <xdr:ext cx="1676399" cy="51435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24025" y="1704976"/>
          <a:ext cx="1676399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0" i="0">
              <a:solidFill>
                <a:srgbClr val="00B050"/>
              </a:solidFill>
              <a:latin typeface="+mn-lt"/>
            </a:rPr>
            <a:t>di=xi-</a:t>
          </a:r>
          <a:r>
            <a:rPr lang="pt-BR" sz="900" b="0" i="0">
              <a:solidFill>
                <a:srgbClr val="00B050"/>
              </a:solidFill>
              <a:latin typeface="Cambria Math"/>
            </a:rPr>
            <a:t>𝑋 ̅</a:t>
          </a:r>
          <a:r>
            <a:rPr lang="pt-BR" sz="900">
              <a:solidFill>
                <a:srgbClr val="00B050"/>
              </a:solidFill>
            </a:rPr>
            <a:t>= (valor do  xi da linha menos  a </a:t>
          </a:r>
          <a:r>
            <a:rPr lang="pt-BR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média  destes</a:t>
          </a:r>
          <a:r>
            <a:rPr lang="pt-BR" sz="900">
              <a:solidFill>
                <a:srgbClr val="00B050"/>
              </a:solidFill>
            </a:rPr>
            <a:t>)</a:t>
          </a:r>
        </a:p>
      </xdr:txBody>
    </xdr:sp>
    <xdr:clientData/>
  </xdr:oneCellAnchor>
  <xdr:oneCellAnchor>
    <xdr:from>
      <xdr:col>6</xdr:col>
      <xdr:colOff>428626</xdr:colOff>
      <xdr:row>6</xdr:row>
      <xdr:rowOff>47625</xdr:rowOff>
    </xdr:from>
    <xdr:ext cx="1581150" cy="5143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667126" y="1724025"/>
          <a:ext cx="1581150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0" i="0">
              <a:solidFill>
                <a:srgbClr val="0070C0"/>
              </a:solidFill>
              <a:latin typeface="+mn-lt"/>
            </a:rPr>
            <a:t>di=xi-</a:t>
          </a:r>
          <a:r>
            <a:rPr lang="pt-BR" sz="900" b="0" i="0">
              <a:solidFill>
                <a:srgbClr val="0070C0"/>
              </a:solidFill>
              <a:latin typeface="Cambria Math"/>
            </a:rPr>
            <a:t>𝑋 ̅</a:t>
          </a:r>
          <a:r>
            <a:rPr lang="pt-BR" sz="900">
              <a:solidFill>
                <a:srgbClr val="0070C0"/>
              </a:solidFill>
            </a:rPr>
            <a:t>= (valor do  xi da linha menos  a </a:t>
          </a:r>
          <a:r>
            <a:rPr lang="pt-BR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média  destes</a:t>
          </a:r>
          <a:r>
            <a:rPr lang="pt-BR" sz="900">
              <a:solidFill>
                <a:srgbClr val="0070C0"/>
              </a:solidFill>
            </a:rPr>
            <a:t>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819152</xdr:colOff>
      <xdr:row>14</xdr:row>
      <xdr:rowOff>76200</xdr:rowOff>
    </xdr:from>
    <xdr:to>
      <xdr:col>11</xdr:col>
      <xdr:colOff>47626</xdr:colOff>
      <xdr:row>19</xdr:row>
      <xdr:rowOff>152401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85E5ACB2-01BF-4116-805F-934E622134D7}"/>
            </a:ext>
          </a:extLst>
        </xdr:cNvPr>
        <xdr:cNvSpPr/>
      </xdr:nvSpPr>
      <xdr:spPr>
        <a:xfrm>
          <a:off x="5867402" y="2933700"/>
          <a:ext cx="523874" cy="107632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752477</xdr:colOff>
      <xdr:row>8</xdr:row>
      <xdr:rowOff>104775</xdr:rowOff>
    </xdr:from>
    <xdr:to>
      <xdr:col>11</xdr:col>
      <xdr:colOff>1</xdr:colOff>
      <xdr:row>13</xdr:row>
      <xdr:rowOff>171451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5EBA8A99-F2AE-4508-8CAE-3057EE1CBD91}"/>
            </a:ext>
          </a:extLst>
        </xdr:cNvPr>
        <xdr:cNvSpPr/>
      </xdr:nvSpPr>
      <xdr:spPr>
        <a:xfrm>
          <a:off x="5800727" y="1762125"/>
          <a:ext cx="542924" cy="106680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4</xdr:row>
      <xdr:rowOff>47625</xdr:rowOff>
    </xdr:from>
    <xdr:to>
      <xdr:col>9</xdr:col>
      <xdr:colOff>76200</xdr:colOff>
      <xdr:row>17</xdr:row>
      <xdr:rowOff>57151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E3ECFAA7-37F8-49B1-AAFB-A79DEC5A8819}"/>
            </a:ext>
          </a:extLst>
        </xdr:cNvPr>
        <xdr:cNvSpPr/>
      </xdr:nvSpPr>
      <xdr:spPr>
        <a:xfrm>
          <a:off x="5724524" y="1381125"/>
          <a:ext cx="590551" cy="188595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66674</xdr:colOff>
      <xdr:row>17</xdr:row>
      <xdr:rowOff>57150</xdr:rowOff>
    </xdr:from>
    <xdr:to>
      <xdr:col>9</xdr:col>
      <xdr:colOff>66675</xdr:colOff>
      <xdr:row>30</xdr:row>
      <xdr:rowOff>47626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8DBB6454-7B19-4B59-8907-E03B8557C48F}"/>
            </a:ext>
          </a:extLst>
        </xdr:cNvPr>
        <xdr:cNvSpPr/>
      </xdr:nvSpPr>
      <xdr:spPr>
        <a:xfrm>
          <a:off x="5714999" y="3267075"/>
          <a:ext cx="590551" cy="188595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abnet.datasus.gov.br/cgi/tabcgi.exe?idb2010/e15.de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tabnet.datasus.gov.br/cgi/tabcgi.exe?idb2010/e15.de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sS6Uh49Ofh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theleoni.github.io/unijui-dceeng-matematica/Projeto/Objeto%20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theleoni.github.io/unijui-dceeng-matematica/Projeto/Objeto%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5CE4-4A90-4EB8-8B18-491B75D93E21}">
  <dimension ref="A1:AU31"/>
  <sheetViews>
    <sheetView tabSelected="1" workbookViewId="0">
      <selection activeCell="S16" sqref="S16"/>
    </sheetView>
  </sheetViews>
  <sheetFormatPr defaultRowHeight="15" x14ac:dyDescent="0.25"/>
  <cols>
    <col min="1" max="1" width="1.5703125" style="87" customWidth="1"/>
    <col min="2" max="3" width="4" style="1" customWidth="1"/>
    <col min="4" max="4" width="9.28515625" style="1" customWidth="1"/>
    <col min="5" max="5" width="21" style="1" customWidth="1"/>
    <col min="6" max="6" width="2.42578125" style="1" customWidth="1"/>
    <col min="7" max="7" width="1.7109375" style="1" customWidth="1"/>
    <col min="8" max="8" width="10" style="1" customWidth="1"/>
    <col min="9" max="14" width="6.140625" style="1" customWidth="1"/>
    <col min="15" max="15" width="31.42578125" style="1" customWidth="1"/>
    <col min="16" max="16" width="9" style="1" customWidth="1"/>
    <col min="17" max="17" width="11.28515625" style="1" hidden="1" customWidth="1"/>
    <col min="18" max="18" width="2.5703125" style="87" customWidth="1"/>
    <col min="19" max="16384" width="9.140625" style="1"/>
  </cols>
  <sheetData>
    <row r="1" spans="2:47" s="87" customFormat="1" ht="21" customHeight="1" x14ac:dyDescent="0.25"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2:47" s="87" customFormat="1" ht="21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2:47" s="87" customFormat="1" ht="17.25" customHeight="1" x14ac:dyDescent="0.25">
      <c r="B3" s="1"/>
      <c r="C3" s="1"/>
      <c r="D3" s="1"/>
      <c r="E3" s="1"/>
      <c r="F3" s="385" t="s">
        <v>182</v>
      </c>
      <c r="G3" s="385"/>
      <c r="H3" s="385"/>
      <c r="I3" s="385"/>
      <c r="J3" s="385"/>
      <c r="K3" s="385"/>
      <c r="L3" s="385"/>
      <c r="M3" s="385"/>
      <c r="N3" s="385"/>
      <c r="O3" s="385"/>
      <c r="P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2:47" s="87" customFormat="1" ht="21" customHeight="1" x14ac:dyDescent="0.25">
      <c r="B4" s="1"/>
      <c r="C4" s="1"/>
      <c r="D4" s="1"/>
      <c r="E4" s="1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1"/>
      <c r="Q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2:47" s="87" customFormat="1" ht="18" customHeight="1" x14ac:dyDescent="0.25">
      <c r="B5" s="1"/>
      <c r="C5" s="1"/>
      <c r="D5" s="1"/>
      <c r="E5" s="1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1"/>
      <c r="Q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2:47" s="87" customFormat="1" ht="40.5" hidden="1" customHeight="1" x14ac:dyDescent="0.25">
      <c r="B6" s="1"/>
      <c r="C6" s="1"/>
      <c r="D6" s="1"/>
      <c r="E6" s="1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2:47" s="87" customFormat="1" ht="21" customHeight="1" x14ac:dyDescent="0.25">
      <c r="B7" s="1"/>
      <c r="C7" s="1"/>
      <c r="D7" s="176"/>
      <c r="E7" s="67"/>
      <c r="F7" s="67"/>
      <c r="G7" s="67"/>
      <c r="H7" s="1"/>
      <c r="I7" s="1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2:47" s="87" customFormat="1" ht="23.25" x14ac:dyDescent="0.25">
      <c r="B8" s="1"/>
      <c r="C8" s="1"/>
      <c r="D8" s="302"/>
      <c r="E8" s="302"/>
      <c r="F8" s="303"/>
      <c r="G8" s="67"/>
      <c r="H8" s="1"/>
      <c r="I8" s="1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2:47" s="87" customFormat="1" ht="12.75" customHeight="1" x14ac:dyDescent="0.25">
      <c r="B9" s="1"/>
      <c r="C9" s="1"/>
      <c r="D9" s="298"/>
      <c r="E9" s="299"/>
      <c r="F9" s="300"/>
      <c r="G9" s="67"/>
      <c r="H9" s="1"/>
      <c r="I9" s="1"/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2:47" ht="12.75" customHeight="1" x14ac:dyDescent="0.25">
      <c r="D10" s="298"/>
      <c r="E10" s="299"/>
      <c r="F10" s="300"/>
      <c r="G10" s="67"/>
    </row>
    <row r="11" spans="2:47" ht="12.75" customHeight="1" x14ac:dyDescent="0.25">
      <c r="D11" s="298"/>
      <c r="E11" s="299"/>
      <c r="F11" s="300"/>
      <c r="G11" s="67"/>
    </row>
    <row r="12" spans="2:47" ht="12.75" customHeight="1" x14ac:dyDescent="0.25">
      <c r="D12" s="298"/>
      <c r="E12" s="299"/>
      <c r="F12" s="300"/>
      <c r="G12" s="67"/>
      <c r="I12" s="28"/>
      <c r="J12" s="28"/>
      <c r="K12" s="28"/>
      <c r="L12" s="28"/>
      <c r="M12" s="28"/>
      <c r="N12" s="28"/>
      <c r="O12" s="28"/>
      <c r="P12" s="28"/>
    </row>
    <row r="13" spans="2:47" ht="12.75" customHeight="1" x14ac:dyDescent="0.25">
      <c r="D13" s="298"/>
      <c r="E13" s="299"/>
      <c r="F13" s="300"/>
      <c r="G13" s="301"/>
      <c r="H13" s="50"/>
      <c r="I13" s="383" t="s">
        <v>179</v>
      </c>
      <c r="J13" s="383"/>
      <c r="K13" s="383"/>
      <c r="L13" s="383"/>
      <c r="M13" s="383"/>
      <c r="N13" s="383"/>
      <c r="O13" s="383"/>
      <c r="P13" s="136"/>
      <c r="Q13" s="50"/>
    </row>
    <row r="14" spans="2:47" ht="12.75" customHeight="1" x14ac:dyDescent="0.25">
      <c r="D14" s="298"/>
      <c r="E14" s="299"/>
      <c r="F14" s="300"/>
      <c r="G14" s="301"/>
      <c r="H14" s="50"/>
      <c r="I14" s="28"/>
      <c r="J14" s="28"/>
      <c r="K14" s="28"/>
      <c r="L14" s="28"/>
      <c r="M14" s="28"/>
      <c r="N14" s="28"/>
      <c r="O14" s="28"/>
      <c r="P14" s="28"/>
      <c r="Q14" s="50"/>
    </row>
    <row r="15" spans="2:47" ht="12.75" customHeight="1" x14ac:dyDescent="0.25">
      <c r="D15" s="298"/>
      <c r="E15" s="299"/>
      <c r="F15" s="300"/>
      <c r="G15" s="301"/>
      <c r="H15" s="50"/>
      <c r="I15" s="28"/>
      <c r="J15" s="28"/>
      <c r="K15" s="28"/>
      <c r="L15" s="28"/>
      <c r="M15" s="28"/>
      <c r="N15" s="28"/>
      <c r="O15" s="28"/>
      <c r="P15" s="28"/>
      <c r="Q15" s="50"/>
    </row>
    <row r="16" spans="2:47" ht="12.75" customHeight="1" x14ac:dyDescent="0.25">
      <c r="D16" s="128"/>
      <c r="E16" s="304"/>
      <c r="F16" s="300"/>
      <c r="G16" s="301"/>
      <c r="H16" s="50"/>
      <c r="I16" s="383">
        <v>126592</v>
      </c>
      <c r="J16" s="383"/>
      <c r="K16" s="383"/>
      <c r="L16" s="136"/>
      <c r="M16" s="136"/>
      <c r="N16" s="136"/>
      <c r="O16" s="28"/>
      <c r="P16" s="28"/>
      <c r="Q16" s="50"/>
    </row>
    <row r="17" spans="2:17" ht="12.75" customHeight="1" x14ac:dyDescent="0.25">
      <c r="D17" s="22"/>
      <c r="E17" s="301"/>
      <c r="F17" s="301"/>
      <c r="G17" s="301"/>
      <c r="H17" s="50"/>
      <c r="I17" s="28"/>
      <c r="J17" s="28"/>
      <c r="K17" s="28"/>
      <c r="L17" s="28"/>
      <c r="M17" s="28"/>
      <c r="N17" s="28"/>
      <c r="O17" s="28"/>
      <c r="P17" s="28"/>
      <c r="Q17" s="50"/>
    </row>
    <row r="18" spans="2:17" ht="12.75" customHeight="1" x14ac:dyDescent="0.25">
      <c r="D18" s="67"/>
      <c r="E18" s="301"/>
      <c r="F18" s="301"/>
      <c r="G18" s="301"/>
      <c r="H18" s="50"/>
      <c r="I18" s="28"/>
      <c r="J18" s="28"/>
      <c r="K18" s="28"/>
      <c r="L18" s="28"/>
      <c r="M18" s="28"/>
      <c r="N18" s="28"/>
      <c r="O18" s="28"/>
      <c r="P18" s="28"/>
      <c r="Q18" s="50"/>
    </row>
    <row r="19" spans="2:17" ht="12.75" customHeight="1" x14ac:dyDescent="0.25"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2:17" ht="12.75" customHeight="1" x14ac:dyDescent="0.25"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</row>
    <row r="21" spans="2:17" ht="12.75" customHeight="1" x14ac:dyDescent="0.25"/>
    <row r="22" spans="2:17" ht="12.75" customHeight="1" x14ac:dyDescent="0.25"/>
    <row r="23" spans="2:17" ht="12.75" customHeight="1" x14ac:dyDescent="0.25"/>
    <row r="24" spans="2:17" ht="12.75" customHeight="1" x14ac:dyDescent="0.25"/>
    <row r="25" spans="2:17" ht="12.75" customHeight="1" x14ac:dyDescent="0.25"/>
    <row r="30" spans="2:17" ht="14.25" customHeight="1" x14ac:dyDescent="0.25"/>
    <row r="31" spans="2:17" x14ac:dyDescent="0.2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</sheetData>
  <mergeCells count="4">
    <mergeCell ref="I13:O13"/>
    <mergeCell ref="I16:K16"/>
    <mergeCell ref="E20:Q20"/>
    <mergeCell ref="F3:O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workbookViewId="0">
      <selection activeCell="H8" sqref="H8"/>
    </sheetView>
  </sheetViews>
  <sheetFormatPr defaultRowHeight="15" x14ac:dyDescent="0.25"/>
  <cols>
    <col min="1" max="1" width="2.140625" style="30" customWidth="1"/>
    <col min="2" max="2" width="53.85546875" style="12" customWidth="1"/>
    <col min="3" max="3" width="26.42578125" style="12" customWidth="1"/>
    <col min="4" max="4" width="15.85546875" style="12" customWidth="1"/>
    <col min="5" max="5" width="50.140625" style="12" customWidth="1"/>
    <col min="6" max="6" width="2.42578125" style="30" customWidth="1"/>
    <col min="7" max="23" width="9.140625" style="1"/>
    <col min="24" max="31" width="9.140625" style="31"/>
    <col min="32" max="16384" width="9.140625" style="12"/>
  </cols>
  <sheetData>
    <row r="1" spans="1:31" s="30" customFormat="1" x14ac:dyDescent="0.25">
      <c r="A1" s="35"/>
      <c r="B1" s="35"/>
      <c r="C1" s="35"/>
      <c r="D1" s="35"/>
      <c r="E1" s="35"/>
      <c r="F1" s="3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1"/>
      <c r="Y1" s="31"/>
      <c r="Z1" s="31"/>
      <c r="AA1" s="31"/>
      <c r="AB1" s="31"/>
      <c r="AC1" s="31"/>
      <c r="AD1" s="31"/>
      <c r="AE1" s="31"/>
    </row>
    <row r="2" spans="1:31" x14ac:dyDescent="0.25">
      <c r="A2" s="35"/>
      <c r="B2" s="1"/>
      <c r="C2" s="1"/>
      <c r="D2" s="1"/>
      <c r="E2" s="1"/>
      <c r="F2" s="35"/>
    </row>
    <row r="3" spans="1:31" x14ac:dyDescent="0.25">
      <c r="A3" s="35"/>
      <c r="B3" s="1"/>
      <c r="C3" s="1"/>
      <c r="D3" s="1"/>
      <c r="E3" s="1"/>
      <c r="F3" s="35"/>
    </row>
    <row r="4" spans="1:31" ht="24" thickBot="1" x14ac:dyDescent="0.4">
      <c r="A4" s="35"/>
      <c r="B4" s="102" t="s">
        <v>91</v>
      </c>
      <c r="C4" s="7"/>
      <c r="D4" s="7"/>
      <c r="E4" s="7"/>
      <c r="F4" s="35"/>
    </row>
    <row r="5" spans="1:31" ht="19.5" thickBot="1" x14ac:dyDescent="0.3">
      <c r="A5" s="35"/>
      <c r="B5" s="32" t="s">
        <v>92</v>
      </c>
      <c r="C5" s="36" t="s">
        <v>148</v>
      </c>
      <c r="D5" s="1" t="s">
        <v>93</v>
      </c>
      <c r="E5" s="7"/>
      <c r="F5" s="35"/>
    </row>
    <row r="6" spans="1:31" ht="19.5" thickBot="1" x14ac:dyDescent="0.35">
      <c r="A6" s="35"/>
      <c r="B6" s="8"/>
      <c r="C6" s="9"/>
      <c r="D6" s="7"/>
      <c r="E6" s="7"/>
      <c r="F6" s="35"/>
    </row>
    <row r="7" spans="1:31" ht="19.5" thickBot="1" x14ac:dyDescent="0.35">
      <c r="A7" s="35"/>
      <c r="B7" s="8" t="s">
        <v>94</v>
      </c>
      <c r="C7" s="37">
        <v>104758</v>
      </c>
      <c r="D7" s="7" t="s">
        <v>95</v>
      </c>
      <c r="E7" s="7"/>
      <c r="F7" s="35"/>
    </row>
    <row r="8" spans="1:31" ht="19.5" thickBot="1" x14ac:dyDescent="0.35">
      <c r="A8" s="35"/>
      <c r="B8" s="8"/>
      <c r="C8" s="9"/>
      <c r="D8" s="7"/>
      <c r="E8" s="7"/>
      <c r="F8" s="35"/>
    </row>
    <row r="9" spans="1:31" ht="19.5" thickBot="1" x14ac:dyDescent="0.35">
      <c r="A9" s="35"/>
      <c r="B9" s="34" t="s">
        <v>96</v>
      </c>
      <c r="C9" s="38" t="s">
        <v>149</v>
      </c>
      <c r="D9" s="7" t="s">
        <v>97</v>
      </c>
      <c r="E9" s="7"/>
      <c r="F9" s="35"/>
    </row>
    <row r="10" spans="1:31" ht="18.75" x14ac:dyDescent="0.3">
      <c r="A10" s="35"/>
      <c r="B10" s="8"/>
      <c r="C10" s="7"/>
      <c r="D10" s="7"/>
      <c r="E10" s="7"/>
      <c r="F10" s="35"/>
    </row>
    <row r="11" spans="1:31" ht="15.75" x14ac:dyDescent="0.25">
      <c r="A11" s="35"/>
      <c r="B11" s="10"/>
      <c r="C11" s="7"/>
      <c r="D11" s="7"/>
      <c r="E11" s="7"/>
      <c r="F11" s="35"/>
    </row>
    <row r="12" spans="1:31" ht="15.75" x14ac:dyDescent="0.25">
      <c r="A12" s="35"/>
      <c r="B12" s="10"/>
      <c r="C12" s="7"/>
      <c r="D12" s="7"/>
      <c r="E12" s="7"/>
      <c r="F12" s="35"/>
    </row>
    <row r="13" spans="1:31" ht="15.75" x14ac:dyDescent="0.25">
      <c r="A13" s="35"/>
      <c r="B13" s="10"/>
      <c r="C13" s="7"/>
      <c r="D13" s="7"/>
      <c r="E13" s="7"/>
      <c r="F13" s="35"/>
    </row>
    <row r="14" spans="1:31" ht="15.75" x14ac:dyDescent="0.25">
      <c r="A14" s="35"/>
      <c r="B14" s="103" t="str">
        <f>CONCATENATE(C5,", Após colocar teus dados nas célumas amarelas, clique sobre a aba seguinte que está localizada após a aba Início, na parte inferior da tela.")</f>
        <v>Tânia, Após colocar teus dados nas célumas amarelas, clique sobre a aba seguinte que está localizada após a aba Início, na parte inferior da tela.</v>
      </c>
      <c r="C14" s="7"/>
      <c r="D14" s="7"/>
      <c r="E14" s="7"/>
      <c r="F14" s="35"/>
    </row>
    <row r="15" spans="1:31" x14ac:dyDescent="0.25">
      <c r="A15" s="35"/>
      <c r="B15" s="11"/>
      <c r="C15" s="7"/>
      <c r="D15" s="7"/>
      <c r="E15" s="7"/>
      <c r="F15" s="35"/>
    </row>
    <row r="16" spans="1:31" ht="12.75" customHeight="1" x14ac:dyDescent="0.25">
      <c r="A16" s="35"/>
      <c r="B16" s="10"/>
      <c r="C16" s="7"/>
      <c r="D16" s="7"/>
      <c r="E16" s="7"/>
      <c r="F16" s="35"/>
    </row>
    <row r="17" spans="1:23" ht="12.75" customHeight="1" x14ac:dyDescent="0.25">
      <c r="A17" s="35"/>
      <c r="B17" s="7"/>
      <c r="C17" s="7"/>
      <c r="D17" s="7"/>
      <c r="E17" s="7"/>
      <c r="F17" s="35"/>
    </row>
    <row r="18" spans="1:23" ht="139.5" customHeight="1" x14ac:dyDescent="0.25">
      <c r="A18" s="35"/>
      <c r="B18" s="253" t="s">
        <v>98</v>
      </c>
      <c r="C18" s="7"/>
      <c r="D18" s="7"/>
      <c r="E18" s="7"/>
      <c r="F18" s="35"/>
    </row>
    <row r="19" spans="1:23" x14ac:dyDescent="0.25">
      <c r="A19" s="35"/>
      <c r="B19" s="35"/>
      <c r="C19" s="35"/>
      <c r="D19" s="35"/>
      <c r="E19" s="35"/>
      <c r="F19" s="35"/>
    </row>
    <row r="20" spans="1:23" s="31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31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31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31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31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31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31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31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31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31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31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31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31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31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31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31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31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31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31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31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31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31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31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31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31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31" customForma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31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31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31" customForma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31" customForma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31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31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s="31" customForma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31" customForma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31" customForma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31" customForma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31" customForma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31" customForma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31" customForma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31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s="31" customForma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s="31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s="31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s="31" customForma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s="31" customForma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s="31" customForma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s="31" customForma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s="31" customForma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s="31" customForma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s="31" customForma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s="31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s="31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s="31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s="31" customForma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s="31" customForma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s="31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s="31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s="31" customForma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s="31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s="31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s="31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s="31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s="31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s="31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s="31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s="31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s="31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s="31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s="31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s="31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s="31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s="31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s="31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s="31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s="31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s="3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s="3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s="31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s="31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s="31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s="31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s="31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s="31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s="31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s="31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s="31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s="31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s="31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s="31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s="31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s="31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s="31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s="31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s="31" customForma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s="31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s="31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s="31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s="31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s="31" customForma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s="3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s="3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s="31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s="31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s="31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s="31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s="31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s="31" customForma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s="31" customForma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s="31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s="31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s="31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s="31" customForma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s="31" customForma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s="31" customForma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31" customForma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31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31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31" customForma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31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31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31" customForma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31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31" customForma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31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s="31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s="31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s="31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s="31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s="31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s="31" customForma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s="31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s="31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s="31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s="31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s="31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</row>
    <row r="156" spans="1:23" x14ac:dyDescent="0.25">
      <c r="A156" s="1"/>
      <c r="B156" s="1"/>
      <c r="C156" s="1"/>
      <c r="D156" s="1"/>
      <c r="E156" s="1"/>
      <c r="F156" s="1"/>
    </row>
    <row r="157" spans="1:23" x14ac:dyDescent="0.25">
      <c r="A157" s="1"/>
      <c r="B157" s="1"/>
      <c r="C157" s="1"/>
      <c r="D157" s="1"/>
      <c r="E157" s="1"/>
      <c r="F157" s="1"/>
    </row>
    <row r="158" spans="1:23" x14ac:dyDescent="0.25">
      <c r="A158" s="1"/>
      <c r="B158" s="1"/>
      <c r="C158" s="1"/>
      <c r="D158" s="1"/>
      <c r="E158" s="1"/>
      <c r="F158" s="1"/>
    </row>
    <row r="159" spans="1:23" x14ac:dyDescent="0.25">
      <c r="A159" s="1"/>
      <c r="B159" s="1"/>
      <c r="C159" s="1"/>
      <c r="D159" s="1"/>
      <c r="E159" s="1"/>
      <c r="F159" s="1"/>
    </row>
    <row r="160" spans="1:23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2"/>
      <c r="F201" s="12"/>
    </row>
    <row r="202" spans="1:6" x14ac:dyDescent="0.25">
      <c r="A202" s="12"/>
      <c r="F202" s="12"/>
    </row>
    <row r="203" spans="1:6" x14ac:dyDescent="0.25">
      <c r="A203" s="12"/>
      <c r="F203" s="12"/>
    </row>
    <row r="204" spans="1:6" x14ac:dyDescent="0.25">
      <c r="A204" s="12"/>
      <c r="F204" s="12"/>
    </row>
    <row r="205" spans="1:6" x14ac:dyDescent="0.25">
      <c r="A205" s="12"/>
      <c r="F205" s="12"/>
    </row>
    <row r="206" spans="1:6" x14ac:dyDescent="0.25">
      <c r="A206" s="12"/>
      <c r="F206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88"/>
  <sheetViews>
    <sheetView workbookViewId="0">
      <selection activeCell="C3" sqref="C3:E5"/>
    </sheetView>
  </sheetViews>
  <sheetFormatPr defaultRowHeight="15" x14ac:dyDescent="0.25"/>
  <cols>
    <col min="1" max="1" width="2.42578125" style="87" customWidth="1"/>
    <col min="2" max="2" width="4.140625" style="1" customWidth="1"/>
    <col min="3" max="3" width="23" style="48" customWidth="1"/>
    <col min="4" max="4" width="13.85546875" style="1" customWidth="1"/>
    <col min="5" max="5" width="20.5703125" style="1" customWidth="1"/>
    <col min="6" max="6" width="4.85546875" style="1" customWidth="1"/>
    <col min="7" max="7" width="9.140625" style="1"/>
    <col min="8" max="8" width="13" style="1" customWidth="1"/>
    <col min="9" max="9" width="13.140625" style="1" customWidth="1"/>
    <col min="10" max="10" width="9.140625" style="1"/>
    <col min="11" max="11" width="5" style="1" customWidth="1"/>
    <col min="12" max="12" width="33.7109375" style="1" customWidth="1"/>
    <col min="13" max="13" width="3.7109375" style="99" customWidth="1"/>
    <col min="14" max="14" width="3.140625" style="99" customWidth="1"/>
    <col min="15" max="15" width="3.85546875" style="99" customWidth="1"/>
    <col min="16" max="16" width="17" style="99" bestFit="1" customWidth="1"/>
    <col min="17" max="17" width="9.140625" style="99"/>
    <col min="18" max="18" width="9.85546875" style="99" bestFit="1" customWidth="1"/>
    <col min="19" max="20" width="9.28515625" style="99" bestFit="1" customWidth="1"/>
    <col min="21" max="16384" width="9.140625" style="1"/>
  </cols>
  <sheetData>
    <row r="1" spans="1:24" ht="15" customHeight="1" x14ac:dyDescent="0.25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98"/>
      <c r="N1" s="98"/>
    </row>
    <row r="2" spans="1:24" ht="15.75" x14ac:dyDescent="0.25">
      <c r="C2" s="97" t="str">
        <f>IF(Inicio!C6="","Por favor, coloque teus dados na planilha Instruções antes de iniciar a atividade",CONCATENATE(Inicio!C6,"! Imagine que em ",Inicio!C10,"  tivessem 20 unidades de saúde numeradas  de 1 a 20 e que o número de pacientes e profissionais da saúde destas estejam na tabela a seguir. "))</f>
        <v>Por favor, coloque teus dados na planilha Instruções antes de iniciar a atividade</v>
      </c>
      <c r="N2" s="98"/>
      <c r="R2" s="28"/>
      <c r="S2" s="28"/>
      <c r="T2" s="28"/>
      <c r="U2" s="28"/>
    </row>
    <row r="3" spans="1:24" ht="18.75" customHeight="1" x14ac:dyDescent="0.25">
      <c r="C3" s="388" t="str">
        <f>CONCATENATE(Inicio!C5,"! Imagine que em ",Inicio!C9,"  tivessem 20 unidades de saúde numeradas  de 1 a 20 e que o número de pacientes e profissionais da saúde destas estejam na tabela a seguir. ")</f>
        <v xml:space="preserve">Tânia! Imagine que em Ijuí  tivessem 20 unidades de saúde numeradas  de 1 a 20 e que o número de pacientes e profissionais da saúde destas estejam na tabela a seguir. </v>
      </c>
      <c r="D3" s="388"/>
      <c r="E3" s="388"/>
      <c r="G3" s="390" t="s">
        <v>150</v>
      </c>
      <c r="H3" s="390"/>
      <c r="I3" s="390"/>
      <c r="J3" s="390"/>
      <c r="K3" s="390"/>
      <c r="L3" s="390"/>
      <c r="N3" s="98"/>
      <c r="R3" s="28"/>
      <c r="S3" s="28"/>
      <c r="T3" s="28"/>
      <c r="U3" s="28"/>
    </row>
    <row r="4" spans="1:24" ht="15" customHeight="1" x14ac:dyDescent="0.25">
      <c r="C4" s="388"/>
      <c r="D4" s="388"/>
      <c r="E4" s="388"/>
      <c r="G4" s="390"/>
      <c r="H4" s="390"/>
      <c r="I4" s="390"/>
      <c r="J4" s="390"/>
      <c r="K4" s="390"/>
      <c r="L4" s="390"/>
      <c r="N4" s="98"/>
      <c r="R4" s="28"/>
      <c r="S4" s="28"/>
      <c r="T4" s="28"/>
      <c r="U4" s="28"/>
    </row>
    <row r="5" spans="1:24" s="39" customFormat="1" ht="16.5" customHeight="1" x14ac:dyDescent="0.3">
      <c r="A5" s="88"/>
      <c r="C5" s="389"/>
      <c r="D5" s="389"/>
      <c r="E5" s="388"/>
      <c r="F5" s="43"/>
      <c r="G5" s="390"/>
      <c r="H5" s="390"/>
      <c r="I5" s="390"/>
      <c r="J5" s="390"/>
      <c r="K5" s="390"/>
      <c r="L5" s="390"/>
      <c r="M5" s="100"/>
      <c r="N5" s="98"/>
      <c r="R5" s="51">
        <f>VALUE(Inicio!C7)</f>
        <v>104758</v>
      </c>
      <c r="S5" s="51">
        <f>1000*(R5/1000 -TRUNC(R5/1000))</f>
        <v>757.99999999999557</v>
      </c>
      <c r="T5" s="51">
        <f>MOD(R5,7)+MOD(R5,11)+MOD(R5,13)</f>
        <v>12</v>
      </c>
      <c r="U5" s="52"/>
      <c r="V5" s="40"/>
      <c r="W5" s="40"/>
      <c r="X5" s="40"/>
    </row>
    <row r="6" spans="1:24" ht="30" customHeight="1" thickBot="1" x14ac:dyDescent="0.3">
      <c r="B6" s="67"/>
      <c r="C6" s="96" t="s">
        <v>146</v>
      </c>
      <c r="D6" s="90" t="s">
        <v>147</v>
      </c>
      <c r="E6" s="94" t="s">
        <v>145</v>
      </c>
      <c r="F6" s="43"/>
      <c r="G6" s="33" t="str">
        <f>CONCATENATE("1) Qual é o total de pacientes registrados nas  unidades de saúde apresentadas .")</f>
        <v>1) Qual é o total de pacientes registrados nas  unidades de saúde apresentadas .</v>
      </c>
      <c r="N6" s="98"/>
      <c r="R6" s="53">
        <f>T5</f>
        <v>12</v>
      </c>
      <c r="S6" s="53" t="s">
        <v>132</v>
      </c>
      <c r="T6" s="53">
        <f>TRUNC(R6/5)</f>
        <v>2</v>
      </c>
      <c r="U6" s="28"/>
      <c r="V6" s="42"/>
      <c r="W6" s="42"/>
      <c r="X6" s="42"/>
    </row>
    <row r="7" spans="1:24" ht="12.75" customHeight="1" thickBot="1" x14ac:dyDescent="0.35">
      <c r="B7" s="67"/>
      <c r="C7" s="60">
        <v>1</v>
      </c>
      <c r="D7" s="91">
        <f>MOD(R$6+13,91)</f>
        <v>25</v>
      </c>
      <c r="E7" s="91">
        <f>TRUNC(D7/30)+5</f>
        <v>5</v>
      </c>
      <c r="F7" s="43"/>
      <c r="G7" s="49">
        <f>D27</f>
        <v>3907</v>
      </c>
      <c r="H7" s="44" t="str">
        <f>IF(G7="","",IF(ABS(G7-SUM(D7:D26))&lt;1,"Certo"," A resposta não está correta!"))</f>
        <v>Certo</v>
      </c>
      <c r="I7" s="43"/>
      <c r="J7" s="43"/>
      <c r="K7" s="45" t="s">
        <v>134</v>
      </c>
      <c r="M7" s="100"/>
      <c r="N7" s="98"/>
      <c r="R7" s="53"/>
      <c r="S7" s="53"/>
      <c r="T7" s="53"/>
      <c r="U7" s="28"/>
      <c r="V7" s="42"/>
      <c r="W7" s="42"/>
      <c r="X7" s="42"/>
    </row>
    <row r="8" spans="1:24" ht="11.25" customHeight="1" thickBot="1" x14ac:dyDescent="0.3">
      <c r="B8" s="67"/>
      <c r="C8" s="60">
        <v>2</v>
      </c>
      <c r="D8" s="91">
        <f>MOD(TRUNC(D$7*(1+C8/2)),120)+MOD(R$5+C8,31)+D7</f>
        <v>86</v>
      </c>
      <c r="E8" s="91">
        <f>TRUNC(D8/30)+5</f>
        <v>7</v>
      </c>
      <c r="F8" s="43"/>
      <c r="G8" s="43" t="str">
        <f>CONCATENATE("2) Qual é o  número de unidades de saúde na tabela.")</f>
        <v>2) Qual é o  número de unidades de saúde na tabela.</v>
      </c>
      <c r="H8" s="43"/>
      <c r="I8" s="43"/>
      <c r="J8" s="43"/>
      <c r="K8" s="43"/>
      <c r="N8" s="98"/>
      <c r="R8" s="53" t="s">
        <v>133</v>
      </c>
      <c r="S8" s="53">
        <f>SUM(D7:D26)/20</f>
        <v>195.35</v>
      </c>
      <c r="T8" s="53"/>
      <c r="U8" s="28"/>
      <c r="V8" s="42"/>
      <c r="W8" s="42"/>
      <c r="X8" s="42"/>
    </row>
    <row r="9" spans="1:24" ht="11.25" customHeight="1" thickBot="1" x14ac:dyDescent="0.3">
      <c r="B9" s="67"/>
      <c r="C9" s="60">
        <v>3</v>
      </c>
      <c r="D9" s="91">
        <f>MOD(TRUNC(D$7*(1+C9/2))+MOD(R$5+C9,91),300)+D7</f>
        <v>107</v>
      </c>
      <c r="E9" s="91">
        <f>TRUNC(D9/30)+6</f>
        <v>9</v>
      </c>
      <c r="F9" s="43"/>
      <c r="G9" s="49">
        <f>20</f>
        <v>20</v>
      </c>
      <c r="H9" s="44" t="str">
        <f>IF(G9="","",IF(G9=20,"Certo"," A resposta não está correta!"))</f>
        <v>Certo</v>
      </c>
      <c r="I9" s="43"/>
      <c r="J9" s="43"/>
      <c r="K9" s="45" t="s">
        <v>134</v>
      </c>
      <c r="N9" s="98"/>
      <c r="R9" s="53"/>
      <c r="S9" s="53"/>
      <c r="T9" s="53"/>
      <c r="U9" s="28"/>
      <c r="V9" s="42"/>
      <c r="W9" s="42"/>
      <c r="X9" s="42"/>
    </row>
    <row r="10" spans="1:24" ht="11.25" customHeight="1" thickBot="1" x14ac:dyDescent="0.3">
      <c r="B10" s="67"/>
      <c r="C10" s="60">
        <v>4</v>
      </c>
      <c r="D10" s="91">
        <f t="shared" ref="D10:D24" si="0">MOD(TRUNC(D$7*(1+C10/2))+MOD(R$5+C10,91),300)+D$7</f>
        <v>121</v>
      </c>
      <c r="E10" s="91">
        <f>TRUNC(D10/30)+7</f>
        <v>11</v>
      </c>
      <c r="F10" s="43"/>
      <c r="G10" s="43" t="str">
        <f>CONCATENATE("3Qual é o  número de profissionais da saúde que atuam nas unidades de saúde.")</f>
        <v>3Qual é o  número de profissionais da saúde que atuam nas unidades de saúde.</v>
      </c>
      <c r="H10" s="43"/>
      <c r="I10" s="43"/>
      <c r="J10" s="43"/>
      <c r="K10" s="43"/>
      <c r="N10" s="98"/>
      <c r="U10" s="42"/>
      <c r="V10" s="42"/>
      <c r="W10" s="42"/>
      <c r="X10" s="42"/>
    </row>
    <row r="11" spans="1:24" ht="11.25" customHeight="1" thickBot="1" x14ac:dyDescent="0.3">
      <c r="B11" s="67"/>
      <c r="C11" s="60">
        <v>5</v>
      </c>
      <c r="D11" s="91">
        <f t="shared" si="0"/>
        <v>134</v>
      </c>
      <c r="E11" s="91">
        <f>TRUNC(D11/30)+9</f>
        <v>13</v>
      </c>
      <c r="F11" s="43"/>
      <c r="G11" s="49"/>
      <c r="H11" s="44" t="str">
        <f>IF(G11="","",IF(ABS(G11-SUM(E7:E26))&lt;1,"Certo"," A resposta não está correta!"))</f>
        <v/>
      </c>
      <c r="I11" s="43"/>
      <c r="J11" s="43"/>
      <c r="K11" s="45" t="s">
        <v>134</v>
      </c>
      <c r="N11" s="98"/>
      <c r="U11" s="42"/>
      <c r="V11" s="42"/>
      <c r="W11" s="42"/>
      <c r="X11" s="42"/>
    </row>
    <row r="12" spans="1:24" ht="11.25" customHeight="1" thickBot="1" x14ac:dyDescent="0.3">
      <c r="B12" s="67"/>
      <c r="C12" s="60">
        <v>6</v>
      </c>
      <c r="D12" s="91">
        <f t="shared" si="0"/>
        <v>148</v>
      </c>
      <c r="E12" s="91">
        <f>TRUNC(D12/30)+5</f>
        <v>9</v>
      </c>
      <c r="F12" s="43"/>
      <c r="G12" s="43" t="str">
        <f>CONCATENATE("4) Qual a média  geral de pacientes por unidade de saúde ? ")</f>
        <v xml:space="preserve">4) Qual a média  geral de pacientes por unidade de saúde ? </v>
      </c>
      <c r="H12" s="43"/>
      <c r="I12" s="43"/>
      <c r="J12" s="43"/>
      <c r="K12" s="43"/>
      <c r="N12" s="98"/>
      <c r="U12" s="42"/>
      <c r="V12" s="42"/>
      <c r="W12" s="42"/>
      <c r="X12" s="42"/>
    </row>
    <row r="13" spans="1:24" ht="11.25" customHeight="1" thickBot="1" x14ac:dyDescent="0.3">
      <c r="B13" s="67"/>
      <c r="C13" s="60">
        <v>7</v>
      </c>
      <c r="D13" s="91">
        <f t="shared" si="0"/>
        <v>161</v>
      </c>
      <c r="E13" s="91">
        <f>TRUNC(D13/30)+5</f>
        <v>10</v>
      </c>
      <c r="G13" s="49"/>
      <c r="H13" s="46" t="str">
        <f>IF(G13="","",IF(ABS(G13-AVERAGE(D7:D26))&lt;1,"Certo"," A resposta não está correta!"))</f>
        <v/>
      </c>
      <c r="I13" s="43"/>
      <c r="J13" s="43"/>
      <c r="K13" s="45" t="s">
        <v>134</v>
      </c>
      <c r="N13" s="98"/>
      <c r="U13" s="42"/>
      <c r="V13" s="42"/>
      <c r="W13" s="42"/>
      <c r="X13" s="42"/>
    </row>
    <row r="14" spans="1:24" ht="11.25" customHeight="1" thickBot="1" x14ac:dyDescent="0.3">
      <c r="B14" s="67"/>
      <c r="C14" s="60">
        <v>8</v>
      </c>
      <c r="D14" s="91">
        <f t="shared" si="0"/>
        <v>175</v>
      </c>
      <c r="E14" s="91">
        <f>TRUNC(D14/30)+1</f>
        <v>6</v>
      </c>
      <c r="G14" s="43" t="str">
        <f>CONCATENATE("5) Qual a média  geral de pacientes por profissional da saúde nas unidades de saúde ? ")</f>
        <v xml:space="preserve">5) Qual a média  geral de pacientes por profissional da saúde nas unidades de saúde ? </v>
      </c>
      <c r="H14" s="43"/>
      <c r="I14" s="43"/>
      <c r="J14" s="43"/>
      <c r="K14" s="43"/>
      <c r="N14" s="98"/>
      <c r="U14" s="42"/>
      <c r="V14" s="42"/>
      <c r="W14" s="42"/>
      <c r="X14" s="42"/>
    </row>
    <row r="15" spans="1:24" ht="11.25" customHeight="1" thickBot="1" x14ac:dyDescent="0.3">
      <c r="B15" s="67"/>
      <c r="C15" s="60">
        <v>9</v>
      </c>
      <c r="D15" s="91">
        <f t="shared" si="0"/>
        <v>188</v>
      </c>
      <c r="E15" s="91">
        <f>TRUNC(D15/30)+4</f>
        <v>10</v>
      </c>
      <c r="F15" s="43"/>
      <c r="G15" s="49"/>
      <c r="H15" s="46" t="str">
        <f>IF(G15="","",IF(ABS(G15-SUM(D7:D26)/SUM(E7:E26))&lt;1,"Certo"," A resposta não está correta!"))</f>
        <v/>
      </c>
      <c r="I15" s="43"/>
      <c r="J15" s="43"/>
      <c r="K15" s="45" t="s">
        <v>134</v>
      </c>
      <c r="N15" s="98"/>
      <c r="U15" s="42"/>
      <c r="V15" s="42"/>
      <c r="W15" s="42"/>
      <c r="X15" s="42"/>
    </row>
    <row r="16" spans="1:24" ht="11.25" customHeight="1" thickBot="1" x14ac:dyDescent="0.3">
      <c r="B16" s="67"/>
      <c r="C16" s="60">
        <v>10</v>
      </c>
      <c r="D16" s="91">
        <f t="shared" si="0"/>
        <v>202</v>
      </c>
      <c r="E16" s="91">
        <f>TRUNC(D16/30)+6</f>
        <v>12</v>
      </c>
      <c r="F16" s="43"/>
      <c r="G16" s="43" t="str">
        <f>CONCATENATE("6) Qual a média  de pacientes por profissional da saúde na unidade de saúde N° 16? ")</f>
        <v xml:space="preserve">6) Qual a média  de pacientes por profissional da saúde na unidade de saúde N° 16? </v>
      </c>
      <c r="H16" s="43"/>
      <c r="I16" s="43"/>
      <c r="J16" s="43"/>
      <c r="K16" s="43"/>
      <c r="N16" s="98"/>
      <c r="U16" s="42"/>
      <c r="V16" s="42"/>
      <c r="W16" s="42"/>
      <c r="X16" s="42"/>
    </row>
    <row r="17" spans="2:24" ht="11.25" customHeight="1" thickBot="1" x14ac:dyDescent="0.3">
      <c r="B17" s="67"/>
      <c r="C17" s="60">
        <v>11</v>
      </c>
      <c r="D17" s="91">
        <f t="shared" si="0"/>
        <v>215</v>
      </c>
      <c r="E17" s="91">
        <f>TRUNC(D17/30)+4</f>
        <v>11</v>
      </c>
      <c r="F17" s="43"/>
      <c r="G17" s="49"/>
      <c r="H17" s="46" t="str">
        <f>IF(G17="","",IF(ABS(G17-D22/E22)&lt;0.6,"Certo"," A resposta não está correta!"))</f>
        <v/>
      </c>
      <c r="I17" s="43"/>
      <c r="J17" s="43"/>
      <c r="K17" s="45" t="s">
        <v>134</v>
      </c>
      <c r="N17" s="98"/>
      <c r="U17" s="42"/>
      <c r="V17" s="42"/>
      <c r="W17" s="42"/>
      <c r="X17" s="42"/>
    </row>
    <row r="18" spans="2:24" ht="14.25" customHeight="1" x14ac:dyDescent="0.25">
      <c r="B18" s="67"/>
      <c r="C18" s="60">
        <v>12</v>
      </c>
      <c r="D18" s="91">
        <f t="shared" si="0"/>
        <v>229</v>
      </c>
      <c r="E18" s="91">
        <f>TRUNC(D18/30)+7</f>
        <v>14</v>
      </c>
      <c r="F18" s="43"/>
      <c r="G18" s="386" t="s">
        <v>152</v>
      </c>
      <c r="H18" s="386"/>
      <c r="I18" s="386"/>
      <c r="J18" s="386"/>
      <c r="K18" s="386"/>
      <c r="L18" s="386"/>
      <c r="N18" s="98"/>
      <c r="U18" s="42"/>
      <c r="V18" s="42"/>
      <c r="W18" s="42"/>
      <c r="X18" s="42"/>
    </row>
    <row r="19" spans="2:24" ht="11.25" customHeight="1" thickBot="1" x14ac:dyDescent="0.3">
      <c r="B19" s="67"/>
      <c r="C19" s="60">
        <v>13</v>
      </c>
      <c r="D19" s="91">
        <f t="shared" si="0"/>
        <v>242</v>
      </c>
      <c r="E19" s="91">
        <f>TRUNC(D19/30)+4</f>
        <v>12</v>
      </c>
      <c r="F19" s="43"/>
      <c r="G19" s="386"/>
      <c r="H19" s="386"/>
      <c r="I19" s="386"/>
      <c r="J19" s="386"/>
      <c r="K19" s="386"/>
      <c r="L19" s="386"/>
      <c r="N19" s="98"/>
      <c r="U19" s="42"/>
      <c r="V19" s="42"/>
      <c r="W19" s="42"/>
      <c r="X19" s="42"/>
    </row>
    <row r="20" spans="2:24" ht="11.25" customHeight="1" thickBot="1" x14ac:dyDescent="0.3">
      <c r="B20" s="67"/>
      <c r="C20" s="60">
        <v>14</v>
      </c>
      <c r="D20" s="91">
        <f t="shared" si="0"/>
        <v>256</v>
      </c>
      <c r="E20" s="91">
        <f>TRUNC(D20/30)+8</f>
        <v>16</v>
      </c>
      <c r="F20" s="43"/>
      <c r="G20" s="49"/>
      <c r="H20" s="46" t="str">
        <f>IF(G20="","",IF( ABS(ABS(G20)-ABS(D22/E22-SUM(D7:D26)/SUM(E7:E26)))&lt;1,"Certo"," A resposta não está correta!"))</f>
        <v/>
      </c>
      <c r="I20" s="43"/>
      <c r="J20" s="43"/>
      <c r="K20" s="45" t="s">
        <v>134</v>
      </c>
      <c r="N20" s="98"/>
      <c r="U20" s="42"/>
      <c r="V20" s="42"/>
      <c r="W20" s="42"/>
      <c r="X20" s="42"/>
    </row>
    <row r="21" spans="2:24" ht="11.25" customHeight="1" thickBot="1" x14ac:dyDescent="0.3">
      <c r="B21" s="67"/>
      <c r="C21" s="60">
        <v>15</v>
      </c>
      <c r="D21" s="91">
        <f t="shared" si="0"/>
        <v>269</v>
      </c>
      <c r="E21" s="91">
        <f>TRUNC(D21/30)+4</f>
        <v>12</v>
      </c>
      <c r="F21" s="43"/>
      <c r="G21" s="43" t="str">
        <f>CONCATENATE("8) Qual a média  de pacientes por profissional da saúde na unidade de saúde N° 8? ")</f>
        <v xml:space="preserve">8) Qual a média  de pacientes por profissional da saúde na unidade de saúde N° 8? </v>
      </c>
      <c r="N21" s="98"/>
    </row>
    <row r="22" spans="2:24" ht="11.25" customHeight="1" thickBot="1" x14ac:dyDescent="0.3">
      <c r="B22" s="67"/>
      <c r="C22" s="60">
        <v>16</v>
      </c>
      <c r="D22" s="91">
        <f t="shared" si="0"/>
        <v>283</v>
      </c>
      <c r="E22" s="91">
        <f>TRUNC(D22/30)+7</f>
        <v>16</v>
      </c>
      <c r="F22" s="43"/>
      <c r="G22" s="49"/>
      <c r="H22" s="46" t="str">
        <f>IF(G22="","",IF(ABS(G22-D14/E14 )&lt;1,"Certo"," A resposta não está correta!"))</f>
        <v/>
      </c>
      <c r="I22" s="43"/>
      <c r="J22" s="43"/>
      <c r="K22" s="45" t="s">
        <v>134</v>
      </c>
      <c r="N22" s="98"/>
    </row>
    <row r="23" spans="2:24" ht="11.25" customHeight="1" x14ac:dyDescent="0.25">
      <c r="B23" s="67"/>
      <c r="C23" s="60">
        <v>17</v>
      </c>
      <c r="D23" s="91">
        <f t="shared" si="0"/>
        <v>296</v>
      </c>
      <c r="E23" s="91">
        <f>TRUNC(D23/30)+4</f>
        <v>13</v>
      </c>
      <c r="F23" s="43"/>
      <c r="G23" s="387" t="s">
        <v>153</v>
      </c>
      <c r="H23" s="387"/>
      <c r="I23" s="387"/>
      <c r="J23" s="387"/>
      <c r="K23" s="387"/>
      <c r="L23" s="387"/>
      <c r="N23" s="98"/>
    </row>
    <row r="24" spans="2:24" ht="12.75" customHeight="1" thickBot="1" x14ac:dyDescent="0.3">
      <c r="B24" s="67"/>
      <c r="C24" s="60">
        <v>18</v>
      </c>
      <c r="D24" s="91">
        <f t="shared" si="0"/>
        <v>310</v>
      </c>
      <c r="E24" s="91">
        <f>TRUNC(D24/30)+5</f>
        <v>15</v>
      </c>
      <c r="F24" s="43"/>
      <c r="G24" s="387"/>
      <c r="H24" s="387"/>
      <c r="I24" s="387"/>
      <c r="J24" s="387"/>
      <c r="K24" s="387"/>
      <c r="L24" s="387"/>
      <c r="N24" s="98"/>
    </row>
    <row r="25" spans="2:24" ht="11.25" customHeight="1" thickBot="1" x14ac:dyDescent="0.3">
      <c r="B25" s="67"/>
      <c r="C25" s="60">
        <v>19</v>
      </c>
      <c r="D25" s="91">
        <f>MOD(TRUNC(D$7*(1+C25/2))+MOD(R$5+C25,91),300)+3*D$7</f>
        <v>373</v>
      </c>
      <c r="E25" s="91">
        <f>TRUNC(D25/30)+4</f>
        <v>16</v>
      </c>
      <c r="F25" s="43"/>
      <c r="G25" s="49"/>
      <c r="H25" s="46" t="str">
        <f>IF(G25="","",IF( ABS(ABS(G25)-ABS(D14/E14-SUM(D7:D26)/SUM(E7:E26)))&lt;1,"Certo"," A resposta não está correta!"))</f>
        <v/>
      </c>
      <c r="I25" s="43"/>
      <c r="J25" s="43"/>
      <c r="K25" s="45" t="s">
        <v>134</v>
      </c>
      <c r="N25" s="98"/>
    </row>
    <row r="26" spans="2:24" ht="11.25" customHeight="1" x14ac:dyDescent="0.25">
      <c r="B26" s="67"/>
      <c r="C26" s="60">
        <v>20</v>
      </c>
      <c r="D26" s="91">
        <f>MOD(TRUNC(D$7*(1+C26/2))+MOD(R$5+C26,91),300)+3*D$7</f>
        <v>87</v>
      </c>
      <c r="E26" s="91">
        <f>TRUNC(D26/30)+8</f>
        <v>10</v>
      </c>
      <c r="N26" s="98"/>
    </row>
    <row r="27" spans="2:24" ht="15" customHeight="1" x14ac:dyDescent="0.25">
      <c r="B27" s="67"/>
      <c r="C27" s="60" t="s">
        <v>2</v>
      </c>
      <c r="D27" s="92">
        <f>SUM(D7:D26)</f>
        <v>3907</v>
      </c>
      <c r="E27" s="95">
        <f>SUM(E7:E26)</f>
        <v>227</v>
      </c>
      <c r="N27" s="98"/>
    </row>
    <row r="28" spans="2:24" ht="12.75" customHeight="1" x14ac:dyDescent="0.25">
      <c r="C28" s="135" t="s">
        <v>135</v>
      </c>
      <c r="E28" s="99"/>
      <c r="F28" s="99"/>
      <c r="G28" s="99"/>
      <c r="H28" s="99"/>
      <c r="I28" s="99"/>
      <c r="J28" s="99"/>
      <c r="K28" s="99"/>
      <c r="L28" s="99"/>
      <c r="N28" s="98"/>
    </row>
    <row r="29" spans="2:24" ht="10.5" customHeight="1" x14ac:dyDescent="0.25">
      <c r="N29" s="98"/>
    </row>
    <row r="30" spans="2:24" ht="10.5" customHeight="1" x14ac:dyDescent="0.25">
      <c r="N30" s="98"/>
    </row>
    <row r="31" spans="2:24" ht="17.25" customHeight="1" x14ac:dyDescent="0.25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N31" s="98"/>
    </row>
    <row r="32" spans="2:24" ht="10.5" customHeight="1" x14ac:dyDescent="0.25">
      <c r="N32" s="98"/>
    </row>
    <row r="33" spans="1:14" ht="10.5" customHeight="1" x14ac:dyDescent="0.25">
      <c r="N33" s="98"/>
    </row>
    <row r="34" spans="1:14" ht="10.5" customHeight="1" x14ac:dyDescent="0.25">
      <c r="B34" s="87"/>
      <c r="C34" s="101">
        <f>AVERAGE(D7:D26)</f>
        <v>195.35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0.5" customHeight="1" x14ac:dyDescent="0.2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98"/>
    </row>
    <row r="36" spans="1:14" ht="10.5" customHeight="1" x14ac:dyDescent="0.25">
      <c r="A36" s="99"/>
      <c r="C36" s="1"/>
      <c r="E36" s="99"/>
      <c r="F36" s="99"/>
      <c r="G36" s="99"/>
      <c r="H36" s="99"/>
      <c r="I36" s="99"/>
      <c r="J36" s="99"/>
      <c r="K36" s="99"/>
      <c r="L36" s="99"/>
    </row>
    <row r="37" spans="1:14" x14ac:dyDescent="0.25">
      <c r="A37" s="99"/>
      <c r="E37" s="99"/>
      <c r="F37" s="99"/>
      <c r="G37" s="99"/>
      <c r="H37" s="99"/>
      <c r="I37" s="99"/>
      <c r="J37" s="99"/>
      <c r="K37" s="99"/>
      <c r="L37" s="99"/>
    </row>
    <row r="38" spans="1:14" x14ac:dyDescent="0.25">
      <c r="A38" s="99"/>
      <c r="E38" s="99"/>
      <c r="F38" s="99"/>
      <c r="G38" s="99"/>
      <c r="H38" s="99"/>
      <c r="I38" s="99"/>
      <c r="J38" s="99"/>
      <c r="K38" s="99"/>
      <c r="L38" s="99"/>
    </row>
    <row r="39" spans="1:14" x14ac:dyDescent="0.25">
      <c r="A39" s="99"/>
      <c r="E39" s="99"/>
      <c r="F39" s="99"/>
      <c r="G39" s="99"/>
      <c r="H39" s="99"/>
      <c r="I39" s="99"/>
      <c r="J39" s="99"/>
      <c r="K39" s="99"/>
      <c r="L39" s="99"/>
    </row>
    <row r="40" spans="1:14" x14ac:dyDescent="0.25">
      <c r="A40" s="99"/>
      <c r="E40" s="99"/>
      <c r="F40" s="99"/>
      <c r="G40" s="99"/>
      <c r="H40" s="99"/>
      <c r="I40" s="99"/>
      <c r="J40" s="99"/>
      <c r="K40" s="99"/>
      <c r="L40" s="99"/>
    </row>
    <row r="41" spans="1:14" x14ac:dyDescent="0.25">
      <c r="A41" s="99"/>
      <c r="E41" s="99"/>
      <c r="F41" s="99"/>
      <c r="G41" s="99"/>
      <c r="H41" s="99"/>
      <c r="I41" s="99"/>
      <c r="J41" s="99"/>
      <c r="K41" s="99"/>
      <c r="L41" s="99"/>
    </row>
    <row r="42" spans="1:14" x14ac:dyDescent="0.25">
      <c r="A42" s="99"/>
      <c r="E42" s="99"/>
      <c r="F42" s="99"/>
      <c r="G42" s="99"/>
      <c r="H42" s="99"/>
      <c r="I42" s="99"/>
      <c r="J42" s="99"/>
      <c r="K42" s="99"/>
      <c r="L42" s="99"/>
    </row>
    <row r="43" spans="1:14" x14ac:dyDescent="0.25">
      <c r="A43" s="99"/>
      <c r="E43" s="99"/>
      <c r="F43" s="99"/>
      <c r="G43" s="99"/>
      <c r="H43" s="99"/>
      <c r="I43" s="99"/>
      <c r="J43" s="99"/>
      <c r="K43" s="99"/>
      <c r="L43" s="99"/>
    </row>
    <row r="44" spans="1:14" x14ac:dyDescent="0.25">
      <c r="A44" s="99"/>
      <c r="E44" s="99"/>
      <c r="F44" s="99"/>
      <c r="G44" s="99"/>
      <c r="H44" s="99"/>
      <c r="I44" s="99"/>
      <c r="J44" s="99"/>
      <c r="K44" s="99"/>
      <c r="L44" s="99"/>
    </row>
    <row r="45" spans="1:14" x14ac:dyDescent="0.25">
      <c r="A45" s="99"/>
    </row>
    <row r="46" spans="1:14" x14ac:dyDescent="0.25">
      <c r="A46" s="99"/>
    </row>
    <row r="47" spans="1:14" x14ac:dyDescent="0.25">
      <c r="A47" s="99"/>
    </row>
    <row r="48" spans="1:14" x14ac:dyDescent="0.25">
      <c r="A48" s="99"/>
    </row>
    <row r="49" spans="1:1" x14ac:dyDescent="0.25">
      <c r="A49" s="99"/>
    </row>
    <row r="50" spans="1:1" x14ac:dyDescent="0.25">
      <c r="A50" s="99"/>
    </row>
    <row r="51" spans="1:1" x14ac:dyDescent="0.25">
      <c r="A51" s="99"/>
    </row>
    <row r="52" spans="1:1" x14ac:dyDescent="0.25">
      <c r="A52" s="99"/>
    </row>
    <row r="53" spans="1:1" x14ac:dyDescent="0.25">
      <c r="A53" s="99"/>
    </row>
    <row r="54" spans="1:1" x14ac:dyDescent="0.25">
      <c r="A54" s="99"/>
    </row>
    <row r="55" spans="1:1" x14ac:dyDescent="0.25">
      <c r="A55" s="99"/>
    </row>
    <row r="56" spans="1:1" x14ac:dyDescent="0.25">
      <c r="A56" s="99"/>
    </row>
    <row r="57" spans="1:1" x14ac:dyDescent="0.25">
      <c r="A57" s="99"/>
    </row>
    <row r="58" spans="1:1" x14ac:dyDescent="0.25">
      <c r="A58" s="99"/>
    </row>
    <row r="59" spans="1:1" x14ac:dyDescent="0.25">
      <c r="A59" s="99"/>
    </row>
    <row r="60" spans="1:1" x14ac:dyDescent="0.25">
      <c r="A60" s="99"/>
    </row>
    <row r="61" spans="1:1" x14ac:dyDescent="0.25">
      <c r="A61" s="99"/>
    </row>
    <row r="62" spans="1:1" x14ac:dyDescent="0.25">
      <c r="A62" s="99"/>
    </row>
    <row r="63" spans="1:1" x14ac:dyDescent="0.25">
      <c r="A63" s="99"/>
    </row>
    <row r="64" spans="1:1" x14ac:dyDescent="0.25">
      <c r="A64" s="99"/>
    </row>
    <row r="65" spans="1:1" x14ac:dyDescent="0.25">
      <c r="A65" s="99"/>
    </row>
    <row r="66" spans="1:1" x14ac:dyDescent="0.25">
      <c r="A66" s="99"/>
    </row>
    <row r="67" spans="1:1" x14ac:dyDescent="0.25">
      <c r="A67" s="99"/>
    </row>
    <row r="68" spans="1:1" x14ac:dyDescent="0.25">
      <c r="A68" s="99"/>
    </row>
    <row r="69" spans="1:1" x14ac:dyDescent="0.25">
      <c r="A69" s="99"/>
    </row>
    <row r="70" spans="1:1" x14ac:dyDescent="0.25">
      <c r="A70" s="99"/>
    </row>
    <row r="71" spans="1:1" x14ac:dyDescent="0.25">
      <c r="A71" s="99"/>
    </row>
    <row r="72" spans="1:1" x14ac:dyDescent="0.25">
      <c r="A72" s="99"/>
    </row>
    <row r="73" spans="1:1" x14ac:dyDescent="0.25">
      <c r="A73" s="99"/>
    </row>
    <row r="74" spans="1:1" x14ac:dyDescent="0.25">
      <c r="A74" s="99"/>
    </row>
    <row r="75" spans="1:1" x14ac:dyDescent="0.25">
      <c r="A75" s="99"/>
    </row>
    <row r="76" spans="1:1" x14ac:dyDescent="0.25">
      <c r="A76" s="99"/>
    </row>
    <row r="77" spans="1:1" x14ac:dyDescent="0.25">
      <c r="A77" s="99"/>
    </row>
    <row r="78" spans="1:1" x14ac:dyDescent="0.25">
      <c r="A78" s="99"/>
    </row>
    <row r="79" spans="1:1" x14ac:dyDescent="0.25">
      <c r="A79" s="99"/>
    </row>
    <row r="80" spans="1:1" x14ac:dyDescent="0.25">
      <c r="A80" s="99"/>
    </row>
    <row r="81" spans="1:1" x14ac:dyDescent="0.25">
      <c r="A81" s="99"/>
    </row>
    <row r="82" spans="1:1" x14ac:dyDescent="0.25">
      <c r="A82" s="99"/>
    </row>
    <row r="83" spans="1:1" x14ac:dyDescent="0.25">
      <c r="A83" s="99"/>
    </row>
    <row r="84" spans="1:1" x14ac:dyDescent="0.25">
      <c r="A84" s="99"/>
    </row>
    <row r="85" spans="1:1" x14ac:dyDescent="0.25">
      <c r="A85" s="99"/>
    </row>
    <row r="86" spans="1:1" x14ac:dyDescent="0.25">
      <c r="A86" s="99"/>
    </row>
    <row r="87" spans="1:1" x14ac:dyDescent="0.25">
      <c r="A87" s="99"/>
    </row>
    <row r="88" spans="1:1" x14ac:dyDescent="0.25">
      <c r="A88" s="99"/>
    </row>
    <row r="89" spans="1:1" x14ac:dyDescent="0.25">
      <c r="A89" s="99"/>
    </row>
    <row r="90" spans="1:1" x14ac:dyDescent="0.25">
      <c r="A90" s="99"/>
    </row>
    <row r="91" spans="1:1" x14ac:dyDescent="0.25">
      <c r="A91" s="99"/>
    </row>
    <row r="92" spans="1:1" x14ac:dyDescent="0.25">
      <c r="A92" s="99"/>
    </row>
    <row r="93" spans="1:1" x14ac:dyDescent="0.25">
      <c r="A93" s="99"/>
    </row>
    <row r="94" spans="1:1" x14ac:dyDescent="0.25">
      <c r="A94" s="99"/>
    </row>
    <row r="95" spans="1:1" x14ac:dyDescent="0.25">
      <c r="A95" s="99"/>
    </row>
    <row r="96" spans="1:1" x14ac:dyDescent="0.25">
      <c r="A96" s="99"/>
    </row>
    <row r="97" spans="1:1" x14ac:dyDescent="0.25">
      <c r="A97" s="99"/>
    </row>
    <row r="98" spans="1:1" x14ac:dyDescent="0.25">
      <c r="A98" s="99"/>
    </row>
    <row r="99" spans="1:1" x14ac:dyDescent="0.25">
      <c r="A99" s="99"/>
    </row>
    <row r="100" spans="1:1" x14ac:dyDescent="0.25">
      <c r="A100" s="99"/>
    </row>
    <row r="101" spans="1:1" x14ac:dyDescent="0.25">
      <c r="A101" s="99"/>
    </row>
    <row r="102" spans="1:1" x14ac:dyDescent="0.25">
      <c r="A102" s="99"/>
    </row>
    <row r="103" spans="1:1" x14ac:dyDescent="0.25">
      <c r="A103" s="99"/>
    </row>
    <row r="104" spans="1:1" x14ac:dyDescent="0.25">
      <c r="A104" s="99"/>
    </row>
    <row r="105" spans="1:1" x14ac:dyDescent="0.25">
      <c r="A105" s="99"/>
    </row>
    <row r="106" spans="1:1" x14ac:dyDescent="0.25">
      <c r="A106" s="99"/>
    </row>
    <row r="107" spans="1:1" x14ac:dyDescent="0.25">
      <c r="A107" s="99"/>
    </row>
    <row r="108" spans="1:1" x14ac:dyDescent="0.25">
      <c r="A108" s="99"/>
    </row>
    <row r="109" spans="1:1" x14ac:dyDescent="0.25">
      <c r="A109" s="99"/>
    </row>
    <row r="110" spans="1:1" x14ac:dyDescent="0.25">
      <c r="A110" s="99"/>
    </row>
    <row r="111" spans="1:1" x14ac:dyDescent="0.25">
      <c r="A111" s="99"/>
    </row>
    <row r="112" spans="1:1" x14ac:dyDescent="0.25">
      <c r="A112" s="99"/>
    </row>
    <row r="113" spans="1:1" x14ac:dyDescent="0.25">
      <c r="A113" s="99"/>
    </row>
    <row r="114" spans="1:1" x14ac:dyDescent="0.25">
      <c r="A114" s="99"/>
    </row>
    <row r="115" spans="1:1" x14ac:dyDescent="0.25">
      <c r="A115" s="99"/>
    </row>
    <row r="116" spans="1:1" x14ac:dyDescent="0.25">
      <c r="A116" s="99"/>
    </row>
    <row r="117" spans="1:1" x14ac:dyDescent="0.25">
      <c r="A117" s="99"/>
    </row>
    <row r="118" spans="1:1" x14ac:dyDescent="0.25">
      <c r="A118" s="99"/>
    </row>
    <row r="119" spans="1:1" x14ac:dyDescent="0.25">
      <c r="A119" s="99"/>
    </row>
    <row r="120" spans="1:1" x14ac:dyDescent="0.25">
      <c r="A120" s="99"/>
    </row>
    <row r="121" spans="1:1" x14ac:dyDescent="0.25">
      <c r="A121" s="99"/>
    </row>
    <row r="122" spans="1:1" x14ac:dyDescent="0.25">
      <c r="A122" s="99"/>
    </row>
    <row r="123" spans="1:1" x14ac:dyDescent="0.25">
      <c r="A123" s="99"/>
    </row>
    <row r="124" spans="1:1" x14ac:dyDescent="0.25">
      <c r="A124" s="99"/>
    </row>
    <row r="125" spans="1:1" x14ac:dyDescent="0.25">
      <c r="A125" s="99"/>
    </row>
    <row r="126" spans="1:1" x14ac:dyDescent="0.25">
      <c r="A126" s="99"/>
    </row>
    <row r="127" spans="1:1" x14ac:dyDescent="0.25">
      <c r="A127" s="99"/>
    </row>
    <row r="128" spans="1:1" x14ac:dyDescent="0.25">
      <c r="A128" s="99"/>
    </row>
    <row r="129" spans="1:1" x14ac:dyDescent="0.25">
      <c r="A129" s="99"/>
    </row>
    <row r="130" spans="1:1" x14ac:dyDescent="0.25">
      <c r="A130" s="99"/>
    </row>
    <row r="131" spans="1:1" x14ac:dyDescent="0.25">
      <c r="A131" s="99"/>
    </row>
    <row r="132" spans="1:1" x14ac:dyDescent="0.25">
      <c r="A132" s="99"/>
    </row>
    <row r="133" spans="1:1" x14ac:dyDescent="0.25">
      <c r="A133" s="99"/>
    </row>
    <row r="134" spans="1:1" x14ac:dyDescent="0.25">
      <c r="A134" s="99"/>
    </row>
    <row r="135" spans="1:1" x14ac:dyDescent="0.25">
      <c r="A135" s="99"/>
    </row>
    <row r="136" spans="1:1" x14ac:dyDescent="0.25">
      <c r="A136" s="99"/>
    </row>
    <row r="137" spans="1:1" x14ac:dyDescent="0.25">
      <c r="A137" s="99"/>
    </row>
    <row r="138" spans="1:1" x14ac:dyDescent="0.25">
      <c r="A138" s="99"/>
    </row>
    <row r="139" spans="1:1" x14ac:dyDescent="0.25">
      <c r="A139" s="99"/>
    </row>
    <row r="140" spans="1:1" x14ac:dyDescent="0.25">
      <c r="A140" s="99"/>
    </row>
    <row r="141" spans="1:1" x14ac:dyDescent="0.25">
      <c r="A141" s="99"/>
    </row>
    <row r="142" spans="1:1" x14ac:dyDescent="0.25">
      <c r="A142" s="99"/>
    </row>
    <row r="143" spans="1:1" x14ac:dyDescent="0.25">
      <c r="A143" s="99"/>
    </row>
    <row r="144" spans="1:1" x14ac:dyDescent="0.25">
      <c r="A144" s="99"/>
    </row>
    <row r="145" spans="1:1" x14ac:dyDescent="0.25">
      <c r="A145" s="99"/>
    </row>
    <row r="146" spans="1:1" x14ac:dyDescent="0.25">
      <c r="A146" s="99"/>
    </row>
    <row r="147" spans="1:1" x14ac:dyDescent="0.25">
      <c r="A147" s="99"/>
    </row>
    <row r="148" spans="1:1" x14ac:dyDescent="0.25">
      <c r="A148" s="99"/>
    </row>
    <row r="149" spans="1:1" x14ac:dyDescent="0.25">
      <c r="A149" s="99"/>
    </row>
    <row r="150" spans="1:1" x14ac:dyDescent="0.25">
      <c r="A150" s="99"/>
    </row>
    <row r="151" spans="1:1" x14ac:dyDescent="0.25">
      <c r="A151" s="99"/>
    </row>
    <row r="152" spans="1:1" x14ac:dyDescent="0.25">
      <c r="A152" s="99"/>
    </row>
    <row r="153" spans="1:1" x14ac:dyDescent="0.25">
      <c r="A153" s="99"/>
    </row>
    <row r="154" spans="1:1" x14ac:dyDescent="0.25">
      <c r="A154" s="99"/>
    </row>
    <row r="155" spans="1:1" x14ac:dyDescent="0.25">
      <c r="A155" s="99"/>
    </row>
    <row r="156" spans="1:1" x14ac:dyDescent="0.25">
      <c r="A156" s="99"/>
    </row>
    <row r="157" spans="1:1" x14ac:dyDescent="0.25">
      <c r="A157" s="99"/>
    </row>
    <row r="158" spans="1:1" x14ac:dyDescent="0.25">
      <c r="A158" s="99"/>
    </row>
    <row r="159" spans="1:1" x14ac:dyDescent="0.25">
      <c r="A159" s="99"/>
    </row>
    <row r="160" spans="1:1" x14ac:dyDescent="0.25">
      <c r="A160" s="99"/>
    </row>
    <row r="161" spans="1:1" x14ac:dyDescent="0.25">
      <c r="A161" s="99"/>
    </row>
    <row r="162" spans="1:1" x14ac:dyDescent="0.25">
      <c r="A162" s="99"/>
    </row>
    <row r="163" spans="1:1" x14ac:dyDescent="0.25">
      <c r="A163" s="99"/>
    </row>
    <row r="164" spans="1:1" x14ac:dyDescent="0.25">
      <c r="A164" s="99"/>
    </row>
    <row r="165" spans="1:1" x14ac:dyDescent="0.25">
      <c r="A165" s="99"/>
    </row>
    <row r="166" spans="1:1" x14ac:dyDescent="0.25">
      <c r="A166" s="99"/>
    </row>
    <row r="167" spans="1:1" x14ac:dyDescent="0.25">
      <c r="A167" s="99"/>
    </row>
    <row r="168" spans="1:1" x14ac:dyDescent="0.25">
      <c r="A168" s="99"/>
    </row>
    <row r="169" spans="1:1" x14ac:dyDescent="0.25">
      <c r="A169" s="99"/>
    </row>
    <row r="170" spans="1:1" x14ac:dyDescent="0.25">
      <c r="A170" s="99"/>
    </row>
    <row r="171" spans="1:1" x14ac:dyDescent="0.25">
      <c r="A171" s="99"/>
    </row>
    <row r="172" spans="1:1" x14ac:dyDescent="0.25">
      <c r="A172" s="99"/>
    </row>
    <row r="173" spans="1:1" x14ac:dyDescent="0.25">
      <c r="A173" s="99"/>
    </row>
    <row r="174" spans="1:1" x14ac:dyDescent="0.25">
      <c r="A174" s="99"/>
    </row>
    <row r="175" spans="1:1" x14ac:dyDescent="0.25">
      <c r="A175" s="99"/>
    </row>
    <row r="176" spans="1:1" x14ac:dyDescent="0.25">
      <c r="A176" s="99"/>
    </row>
    <row r="177" spans="1:1" x14ac:dyDescent="0.25">
      <c r="A177" s="99"/>
    </row>
    <row r="178" spans="1:1" x14ac:dyDescent="0.25">
      <c r="A178" s="99"/>
    </row>
    <row r="179" spans="1:1" x14ac:dyDescent="0.25">
      <c r="A179" s="99"/>
    </row>
    <row r="180" spans="1:1" x14ac:dyDescent="0.25">
      <c r="A180" s="99"/>
    </row>
    <row r="181" spans="1:1" x14ac:dyDescent="0.25">
      <c r="A181" s="99"/>
    </row>
    <row r="182" spans="1:1" x14ac:dyDescent="0.25">
      <c r="A182" s="99"/>
    </row>
    <row r="183" spans="1:1" x14ac:dyDescent="0.25">
      <c r="A183" s="99"/>
    </row>
    <row r="184" spans="1:1" x14ac:dyDescent="0.25">
      <c r="A184" s="99"/>
    </row>
    <row r="185" spans="1:1" x14ac:dyDescent="0.25">
      <c r="A185" s="99"/>
    </row>
    <row r="186" spans="1:1" x14ac:dyDescent="0.25">
      <c r="A186" s="99"/>
    </row>
    <row r="187" spans="1:1" x14ac:dyDescent="0.25">
      <c r="A187" s="99"/>
    </row>
    <row r="188" spans="1:1" x14ac:dyDescent="0.25">
      <c r="A188" s="99"/>
    </row>
  </sheetData>
  <mergeCells count="4">
    <mergeCell ref="G18:L19"/>
    <mergeCell ref="G23:L24"/>
    <mergeCell ref="C3:E5"/>
    <mergeCell ref="G3:L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6 E18 E20 E22 E2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45"/>
  <sheetViews>
    <sheetView workbookViewId="0">
      <selection activeCell="K3" sqref="K3:Q3"/>
    </sheetView>
  </sheetViews>
  <sheetFormatPr defaultRowHeight="15" x14ac:dyDescent="0.25"/>
  <cols>
    <col min="1" max="1" width="2.85546875" style="138" customWidth="1"/>
    <col min="2" max="2" width="1.28515625" style="1" customWidth="1"/>
    <col min="3" max="3" width="5.5703125" style="48" customWidth="1"/>
    <col min="4" max="4" width="9.28515625" style="1" customWidth="1"/>
    <col min="5" max="5" width="9.7109375" style="1" customWidth="1"/>
    <col min="6" max="6" width="22.7109375" style="1" customWidth="1"/>
    <col min="7" max="7" width="7.42578125" style="1" customWidth="1"/>
    <col min="8" max="8" width="23.7109375" style="1" customWidth="1"/>
    <col min="9" max="9" width="4.85546875" style="28" customWidth="1"/>
    <col min="10" max="10" width="3.140625" style="1" customWidth="1"/>
    <col min="11" max="11" width="13.42578125" style="1" customWidth="1"/>
    <col min="12" max="12" width="8.85546875" style="1" customWidth="1"/>
    <col min="13" max="15" width="3.85546875" style="1" customWidth="1"/>
    <col min="16" max="16" width="36.140625" style="1" customWidth="1"/>
    <col min="17" max="17" width="7.28515625" style="1" customWidth="1"/>
    <col min="18" max="18" width="3" style="1" customWidth="1"/>
    <col min="19" max="19" width="2.5703125" style="138" customWidth="1"/>
    <col min="20" max="20" width="18" style="1" customWidth="1"/>
    <col min="21" max="21" width="2.28515625" style="69" customWidth="1"/>
    <col min="22" max="22" width="2.5703125" style="69" customWidth="1"/>
    <col min="23" max="23" width="9.28515625" style="70" bestFit="1" customWidth="1"/>
    <col min="24" max="26" width="9.140625" style="69"/>
    <col min="27" max="16384" width="9.140625" style="1"/>
  </cols>
  <sheetData>
    <row r="1" spans="1:35" s="138" customFormat="1" x14ac:dyDescent="0.25">
      <c r="C1" s="139"/>
      <c r="I1" s="140"/>
      <c r="T1" s="28"/>
      <c r="U1" s="28"/>
      <c r="V1" s="28"/>
      <c r="W1" s="28"/>
      <c r="X1" s="28"/>
      <c r="Y1" s="28"/>
      <c r="Z1" s="28"/>
    </row>
    <row r="2" spans="1:35" s="138" customFormat="1" ht="7.5" customHeight="1" x14ac:dyDescent="0.25">
      <c r="B2" s="1"/>
      <c r="C2" s="48"/>
      <c r="D2" s="1"/>
      <c r="E2" s="1"/>
      <c r="F2" s="1"/>
      <c r="G2" s="1"/>
      <c r="H2" s="1"/>
      <c r="I2" s="28"/>
      <c r="J2" s="1"/>
      <c r="K2" s="1"/>
      <c r="L2" s="1"/>
      <c r="M2" s="1"/>
      <c r="N2" s="1"/>
      <c r="O2" s="1"/>
      <c r="P2" s="1"/>
      <c r="Q2" s="1"/>
      <c r="R2" s="1"/>
      <c r="T2" s="28"/>
      <c r="U2" s="28"/>
      <c r="V2" s="28"/>
      <c r="W2" s="28"/>
      <c r="X2" s="28"/>
      <c r="Y2" s="28"/>
      <c r="Z2" s="28"/>
    </row>
    <row r="3" spans="1:35" s="39" customFormat="1" ht="63.75" customHeight="1" x14ac:dyDescent="0.3">
      <c r="A3" s="141"/>
      <c r="B3" s="1"/>
      <c r="C3" s="392" t="str">
        <f>CONCATENATE(Inicio!C5,"! Considefre os  20 hospitals numerados  de 1 a 20 e que o número de pessoas atendidas e profissionais da saúde destas estejam na tabela a seguir. ")</f>
        <v xml:space="preserve">Tânia! Considefre os  20 hospitals numerados  de 1 a 20 e que o número de pessoas atendidas e profissionais da saúde destas estejam na tabela a seguir. </v>
      </c>
      <c r="D3" s="393"/>
      <c r="E3" s="393"/>
      <c r="F3" s="393"/>
      <c r="G3" s="393"/>
      <c r="H3" s="394"/>
      <c r="I3" s="78">
        <f>AVERAGE(D9:D28)</f>
        <v>11187.55</v>
      </c>
      <c r="K3" s="413" t="s">
        <v>159</v>
      </c>
      <c r="L3" s="414"/>
      <c r="M3" s="414"/>
      <c r="N3" s="414"/>
      <c r="O3" s="414"/>
      <c r="P3" s="414"/>
      <c r="Q3" s="414"/>
      <c r="R3" s="145"/>
      <c r="S3" s="138"/>
      <c r="T3" s="143"/>
      <c r="U3" s="51">
        <v>1045666</v>
      </c>
      <c r="V3" s="51">
        <f>U3/100</f>
        <v>10456.66</v>
      </c>
      <c r="W3" s="51"/>
      <c r="X3" s="51"/>
      <c r="Y3" s="51"/>
      <c r="Z3" s="51"/>
      <c r="AA3" s="8"/>
      <c r="AB3" s="8"/>
      <c r="AC3" s="8"/>
      <c r="AD3" s="8"/>
      <c r="AE3" s="8"/>
      <c r="AF3" s="8"/>
      <c r="AG3" s="8"/>
      <c r="AH3" s="8"/>
      <c r="AI3" s="8"/>
    </row>
    <row r="4" spans="1:35" ht="33" customHeight="1" x14ac:dyDescent="0.25">
      <c r="B4" s="67"/>
      <c r="C4" s="395" t="str">
        <f>CONCATENATE("Número de pessoas atendidas e profissionais da saúde alocados,  por posto de saúde , no estado em  2020.")</f>
        <v>Número de pessoas atendidas e profissionais da saúde alocados,  por posto de saúde , no estado em  2020.</v>
      </c>
      <c r="D4" s="396"/>
      <c r="E4" s="396"/>
      <c r="F4" s="396"/>
      <c r="G4" s="396"/>
      <c r="H4" s="396"/>
      <c r="I4" s="55">
        <f>AVERAGE(E9:E28)</f>
        <v>376.8</v>
      </c>
      <c r="J4" s="54"/>
      <c r="K4" s="108"/>
      <c r="L4" s="108"/>
      <c r="M4" s="108"/>
      <c r="N4" s="108"/>
      <c r="O4" s="108"/>
      <c r="P4" s="108"/>
      <c r="Q4" s="108"/>
      <c r="R4" s="108"/>
      <c r="T4" s="142"/>
      <c r="U4" s="53">
        <f>TRUNC(V3)</f>
        <v>10456</v>
      </c>
      <c r="V4" s="53" t="s">
        <v>132</v>
      </c>
      <c r="W4" s="53">
        <f>TRUNC(U4/5)</f>
        <v>2091</v>
      </c>
      <c r="X4" s="53"/>
      <c r="Y4" s="53"/>
      <c r="Z4" s="53"/>
      <c r="AA4" s="7"/>
      <c r="AB4" s="7"/>
      <c r="AC4" s="7"/>
      <c r="AD4" s="7"/>
      <c r="AE4" s="7"/>
      <c r="AF4" s="7"/>
      <c r="AG4" s="7"/>
      <c r="AH4" s="7"/>
      <c r="AI4" s="7"/>
    </row>
    <row r="5" spans="1:35" ht="21.75" customHeight="1" thickBot="1" x14ac:dyDescent="0.3">
      <c r="C5" s="397" t="s">
        <v>156</v>
      </c>
      <c r="D5" s="400" t="s">
        <v>157</v>
      </c>
      <c r="E5" s="403" t="s">
        <v>158</v>
      </c>
      <c r="F5" s="400" t="s">
        <v>154</v>
      </c>
      <c r="G5" s="406"/>
      <c r="H5" s="409" t="s">
        <v>155</v>
      </c>
      <c r="I5" s="55"/>
      <c r="J5" s="54"/>
      <c r="K5" s="110" t="str">
        <f>CONCATENATE("3) Conforme a  tabela, qual é o total de pacientes atendidas nos  hospitals da tabela?")</f>
        <v>3) Conforme a  tabela, qual é o total de pacientes atendidas nos  hospitals da tabela?</v>
      </c>
      <c r="L5" s="56"/>
      <c r="M5" s="56"/>
      <c r="N5" s="56"/>
      <c r="O5" s="56"/>
      <c r="P5" s="57"/>
      <c r="T5" s="28"/>
      <c r="U5" s="53"/>
      <c r="V5" s="53"/>
      <c r="W5" s="53"/>
      <c r="X5" s="53"/>
      <c r="Y5" s="53"/>
      <c r="Z5" s="53"/>
      <c r="AA5" s="7"/>
      <c r="AB5" s="7"/>
      <c r="AC5" s="7"/>
      <c r="AD5" s="7"/>
      <c r="AE5" s="7"/>
      <c r="AF5" s="7"/>
      <c r="AG5" s="7"/>
      <c r="AH5" s="7"/>
      <c r="AI5" s="7"/>
    </row>
    <row r="6" spans="1:35" ht="13.5" customHeight="1" thickBot="1" x14ac:dyDescent="0.3">
      <c r="C6" s="398"/>
      <c r="D6" s="401"/>
      <c r="E6" s="404"/>
      <c r="F6" s="401"/>
      <c r="G6" s="407"/>
      <c r="H6" s="410"/>
      <c r="I6" s="55"/>
      <c r="J6" s="54"/>
      <c r="K6" s="49"/>
      <c r="L6" s="58" t="str">
        <f>IF(K6="","",IF(ABS(K6-SUM(D9:D28))&lt;1,"Certo"," A resposta não está correta!"))</f>
        <v/>
      </c>
      <c r="M6" s="56"/>
      <c r="N6" s="56"/>
      <c r="O6" s="57"/>
      <c r="P6" s="57"/>
      <c r="T6" s="28"/>
      <c r="U6" s="53"/>
      <c r="V6" s="53"/>
      <c r="W6" s="53"/>
      <c r="X6" s="53"/>
      <c r="Y6" s="53"/>
      <c r="Z6" s="53"/>
      <c r="AA6" s="7"/>
      <c r="AB6" s="7"/>
      <c r="AC6" s="7"/>
      <c r="AD6" s="7"/>
      <c r="AE6" s="7"/>
      <c r="AF6" s="7"/>
      <c r="AG6" s="7"/>
      <c r="AH6" s="7"/>
      <c r="AI6" s="7"/>
    </row>
    <row r="7" spans="1:35" ht="20.25" customHeight="1" thickBot="1" x14ac:dyDescent="0.3">
      <c r="C7" s="398"/>
      <c r="D7" s="401"/>
      <c r="E7" s="404"/>
      <c r="F7" s="401"/>
      <c r="G7" s="407"/>
      <c r="H7" s="410"/>
      <c r="I7" s="55"/>
      <c r="J7" s="54"/>
      <c r="K7" s="111" t="str">
        <f>CONCATENATE("4) Conforme a tabela, qual é o  número de hospitals da tabela? ")</f>
        <v xml:space="preserve">4) Conforme a tabela, qual é o  número de hospitals da tabela? </v>
      </c>
      <c r="L7" s="56"/>
      <c r="M7" s="56"/>
      <c r="N7" s="56"/>
      <c r="O7" s="56"/>
      <c r="P7" s="57"/>
      <c r="T7" s="28"/>
      <c r="U7" s="53"/>
      <c r="V7" s="53"/>
      <c r="W7" s="53"/>
      <c r="X7" s="53"/>
      <c r="Y7" s="53"/>
      <c r="Z7" s="53"/>
      <c r="AA7" s="7"/>
      <c r="AB7" s="7"/>
      <c r="AC7" s="7"/>
      <c r="AD7" s="7"/>
      <c r="AE7" s="7"/>
      <c r="AF7" s="7"/>
      <c r="AG7" s="7"/>
      <c r="AH7" s="7"/>
      <c r="AI7" s="7"/>
    </row>
    <row r="8" spans="1:35" ht="13.5" customHeight="1" thickBot="1" x14ac:dyDescent="0.3">
      <c r="C8" s="399"/>
      <c r="D8" s="402"/>
      <c r="E8" s="405"/>
      <c r="F8" s="402"/>
      <c r="G8" s="408"/>
      <c r="H8" s="411"/>
      <c r="I8" s="55"/>
      <c r="J8" s="54"/>
      <c r="K8" s="49"/>
      <c r="L8" s="58" t="str">
        <f>IF(K8="","",IF(K8=20,"Certo"," A resposta não está correta!"))</f>
        <v/>
      </c>
      <c r="M8" s="56"/>
      <c r="N8" s="56"/>
      <c r="O8" s="59"/>
      <c r="P8" s="57"/>
      <c r="T8" s="28"/>
      <c r="U8" s="53"/>
      <c r="V8" s="53"/>
      <c r="W8" s="53"/>
      <c r="X8" s="53"/>
      <c r="Y8" s="53"/>
      <c r="Z8" s="53"/>
      <c r="AA8" s="7"/>
      <c r="AB8" s="7"/>
      <c r="AC8" s="7"/>
      <c r="AD8" s="7"/>
      <c r="AE8" s="7"/>
      <c r="AF8" s="7"/>
      <c r="AG8" s="7"/>
      <c r="AH8" s="7"/>
      <c r="AI8" s="7"/>
    </row>
    <row r="9" spans="1:35" ht="20.25" customHeight="1" thickBot="1" x14ac:dyDescent="0.3">
      <c r="C9" s="64">
        <v>1</v>
      </c>
      <c r="D9" s="61">
        <f>TRUNC(U$4-3*W$4)</f>
        <v>4183</v>
      </c>
      <c r="E9" s="62">
        <f>TRUNC(D9/30)+4</f>
        <v>143</v>
      </c>
      <c r="F9" s="63" t="str">
        <f>CONCATENATE( D9, " - ",AVERAGE(D$9:D$28),"=",-AVERAGE(D$9:D$28)+D9)</f>
        <v>4183 - 11187,55=-7004,55</v>
      </c>
      <c r="G9" s="82" t="str">
        <f>I9</f>
        <v>&lt;-Como calcular?</v>
      </c>
      <c r="H9" s="107" t="str">
        <f>CONCATENATE(E9," - ",AVERAGE(E$9:E$28)," = ", -AVERAGE(E$9:E$28)+E9)</f>
        <v>143 - 376,8 = -233,8</v>
      </c>
      <c r="I9" s="412" t="s">
        <v>151</v>
      </c>
      <c r="J9" s="412"/>
      <c r="K9" s="104" t="str">
        <f>CONCATENATE("3) Conforme a tabela, qual é o  número de proficionais da saúde de ",Inicio!C11,"? ")</f>
        <v xml:space="preserve">3) Conforme a tabela, qual é o  número de proficionais da saúde de ? </v>
      </c>
      <c r="L9" s="56"/>
      <c r="M9" s="56"/>
      <c r="N9" s="56"/>
      <c r="O9" s="56"/>
      <c r="P9" s="57"/>
      <c r="T9" s="28"/>
      <c r="U9" s="53"/>
      <c r="V9" s="53"/>
      <c r="W9" s="53"/>
      <c r="X9" s="53"/>
      <c r="Y9" s="53"/>
      <c r="Z9" s="53"/>
      <c r="AA9" s="7"/>
      <c r="AB9" s="7"/>
      <c r="AC9" s="7"/>
      <c r="AD9" s="7"/>
      <c r="AE9" s="7"/>
      <c r="AF9" s="7"/>
      <c r="AG9" s="7"/>
      <c r="AH9" s="7"/>
      <c r="AI9" s="7"/>
    </row>
    <row r="10" spans="1:35" ht="13.5" customHeight="1" thickBot="1" x14ac:dyDescent="0.3">
      <c r="C10" s="64">
        <v>2</v>
      </c>
      <c r="D10" s="65">
        <f>TRUNC(U$4-2.5*W$4)</f>
        <v>5228</v>
      </c>
      <c r="E10" s="66">
        <f t="shared" ref="E10:E27" si="0">TRUNC(D10/30)+4</f>
        <v>178</v>
      </c>
      <c r="F10" s="105">
        <f>-AVERAGE(D$9:D$28)+D10</f>
        <v>-5959.5499999999993</v>
      </c>
      <c r="G10" s="27" t="str">
        <f>IF(F10="","",IF(ABS(ABS(F10)-ABS($I$3-D10))&lt;10,"Certo","Errado"))</f>
        <v>Certo</v>
      </c>
      <c r="H10" s="106">
        <f>-I4+E10</f>
        <v>-198.8</v>
      </c>
      <c r="I10" s="81" t="str">
        <f>IF(H10="","",IF(ABS(ABS(H10)-ABS($I$4-E10))&lt;1,"Certo","Errado"))</f>
        <v>Certo</v>
      </c>
      <c r="J10" s="80"/>
      <c r="K10" s="49"/>
      <c r="L10" s="58" t="str">
        <f>IF(K10="","",IF(ABS(K10-SUM(E9:E28))&lt;1,"Certo"," A resposta não está correta!"))</f>
        <v/>
      </c>
      <c r="M10" s="56"/>
      <c r="N10" s="56"/>
      <c r="O10" s="59"/>
      <c r="P10" s="57"/>
      <c r="T10" s="28"/>
      <c r="U10" s="53"/>
      <c r="V10" s="53"/>
      <c r="W10" s="53"/>
      <c r="X10" s="53"/>
      <c r="Y10" s="53"/>
      <c r="Z10" s="5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3.5" customHeight="1" thickBot="1" x14ac:dyDescent="0.3">
      <c r="C11" s="60">
        <v>3</v>
      </c>
      <c r="D11" s="61">
        <f>TRUNC(U$4-2*W$4)</f>
        <v>6274</v>
      </c>
      <c r="E11" s="62">
        <f t="shared" si="0"/>
        <v>213</v>
      </c>
      <c r="F11" s="105">
        <f>D11-D$31</f>
        <v>-4913.5499999999993</v>
      </c>
      <c r="G11" s="27" t="str">
        <f>IF(F11="","",IF(ABS(ABS(F11)-ABS($I$3-D11))&lt;10,"Certo","Errado"))</f>
        <v>Certo</v>
      </c>
      <c r="H11" s="106">
        <f>E11-E$31</f>
        <v>-163.80000000000001</v>
      </c>
      <c r="I11" s="81" t="str">
        <f>IF(H11="","",IF(ABS(ABS(H11)-ABS($I$4-E11))&lt;1,"Certo","Errado"))</f>
        <v>Certo</v>
      </c>
      <c r="J11" s="80"/>
      <c r="K11" s="110" t="str">
        <f>CONCATENATE("4) Considerando os dados das questões anteriores, qual a média  geral de pacientes por hospital? ")</f>
        <v xml:space="preserve">4) Considerando os dados das questões anteriores, qual a média  geral de pacientes por hospital? </v>
      </c>
      <c r="L11" s="56"/>
      <c r="M11" s="56"/>
      <c r="N11" s="56"/>
      <c r="O11" s="56"/>
      <c r="P11" s="57"/>
      <c r="T11" s="28"/>
      <c r="U11" s="53"/>
      <c r="V11" s="53"/>
      <c r="W11" s="53"/>
      <c r="X11" s="53"/>
      <c r="Y11" s="53"/>
      <c r="Z11" s="53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3.5" customHeight="1" thickBot="1" x14ac:dyDescent="0.3">
      <c r="B12" s="67"/>
      <c r="C12" s="60">
        <v>4</v>
      </c>
      <c r="D12" s="61">
        <f>TRUNC(U$4-1.5*W$4)</f>
        <v>7319</v>
      </c>
      <c r="E12" s="62">
        <f t="shared" si="0"/>
        <v>247</v>
      </c>
      <c r="F12" s="105"/>
      <c r="G12" s="27" t="str">
        <f t="shared" ref="G12:G28" si="1">IF(F12="","",IF(ABS(ABS(F12)-ABS($I$3-D12))&lt;10,"Certo","Errado"))</f>
        <v/>
      </c>
      <c r="H12" s="106"/>
      <c r="I12" s="81" t="str">
        <f t="shared" ref="I12:I28" si="2">IF(H12="","",IF(ABS(ABS(H12)-ABS($I$4-E12))&lt;1,"Certo","Errado"))</f>
        <v/>
      </c>
      <c r="J12" s="80"/>
      <c r="K12" s="49"/>
      <c r="L12" s="68" t="str">
        <f>IF(K12="","",IF(ABS(K12-AVERAGE(D9:D28))&lt;1,"Certo"," A resposta não está correta!"))</f>
        <v/>
      </c>
      <c r="M12" s="56"/>
      <c r="N12" s="56"/>
      <c r="O12" s="59" t="s">
        <v>134</v>
      </c>
      <c r="P12" s="57"/>
      <c r="T12" s="28"/>
      <c r="U12" s="53"/>
      <c r="V12" s="53"/>
      <c r="W12" s="53"/>
      <c r="X12" s="53"/>
      <c r="Y12" s="53"/>
      <c r="Z12" s="53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3.5" customHeight="1" thickBot="1" x14ac:dyDescent="0.3">
      <c r="B13" s="67"/>
      <c r="C13" s="60">
        <v>5</v>
      </c>
      <c r="D13" s="61">
        <f>TRUNC(U$4-1.5*W$4)</f>
        <v>7319</v>
      </c>
      <c r="E13" s="62">
        <f t="shared" si="0"/>
        <v>247</v>
      </c>
      <c r="F13" s="105"/>
      <c r="G13" s="27" t="str">
        <f t="shared" si="1"/>
        <v/>
      </c>
      <c r="H13" s="106"/>
      <c r="I13" s="81" t="str">
        <f t="shared" si="2"/>
        <v/>
      </c>
      <c r="J13" s="80"/>
      <c r="K13" s="110" t="str">
        <f>CONCATENATE("7) Qual a média  geral de pessoas atendidas  por profissional nos hospitals. ")</f>
        <v xml:space="preserve">7) Qual a média  geral de pessoas atendidas  por profissional nos hospitals. </v>
      </c>
      <c r="L13" s="56"/>
      <c r="M13" s="56"/>
      <c r="N13" s="56"/>
      <c r="O13" s="56"/>
      <c r="P13" s="57"/>
      <c r="T13" s="28"/>
      <c r="U13" s="53" t="s">
        <v>133</v>
      </c>
      <c r="V13" s="53">
        <f>SUM(D9:D28)/20</f>
        <v>11187.55</v>
      </c>
      <c r="W13" s="53"/>
      <c r="X13" s="53"/>
      <c r="Y13" s="53"/>
      <c r="Z13" s="53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3.5" customHeight="1" thickBot="1" x14ac:dyDescent="0.3">
      <c r="B14" s="67"/>
      <c r="C14" s="60">
        <v>6</v>
      </c>
      <c r="D14" s="61">
        <f>TRUNC(U$4-1*W$4)</f>
        <v>8365</v>
      </c>
      <c r="E14" s="62">
        <f t="shared" si="0"/>
        <v>282</v>
      </c>
      <c r="F14" s="105"/>
      <c r="G14" s="27" t="str">
        <f t="shared" si="1"/>
        <v/>
      </c>
      <c r="H14" s="106"/>
      <c r="I14" s="81" t="str">
        <f t="shared" si="2"/>
        <v/>
      </c>
      <c r="J14" s="80"/>
      <c r="K14" s="49"/>
      <c r="L14" s="68" t="str">
        <f>IF(K14="","",IF(ABS(K14-SUM(D9:D28)/SUM(E9:E28))&lt;1,"Certo"," A resposta não está correta!"))</f>
        <v/>
      </c>
      <c r="M14" s="56"/>
      <c r="N14" s="56"/>
      <c r="O14" s="59" t="s">
        <v>134</v>
      </c>
      <c r="P14" s="57"/>
      <c r="T14" s="28"/>
      <c r="U14" s="53"/>
      <c r="V14" s="53"/>
      <c r="W14" s="53"/>
      <c r="X14" s="53"/>
      <c r="Y14" s="53"/>
      <c r="Z14" s="53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3.5" customHeight="1" thickBot="1" x14ac:dyDescent="0.3">
      <c r="B15" s="67"/>
      <c r="C15" s="60">
        <v>7</v>
      </c>
      <c r="D15" s="61">
        <f>TRUNC(U$4-1*W$4)</f>
        <v>8365</v>
      </c>
      <c r="E15" s="62">
        <f t="shared" si="0"/>
        <v>282</v>
      </c>
      <c r="F15" s="105"/>
      <c r="G15" s="27" t="str">
        <f t="shared" si="1"/>
        <v/>
      </c>
      <c r="H15" s="106"/>
      <c r="I15" s="81" t="str">
        <f>IF(H15="","",IF(ABS(ABS(H15)-ABS($I$4-E15))&lt;1,"Certo","Errado"))</f>
        <v/>
      </c>
      <c r="J15" s="80"/>
      <c r="K15" s="104" t="str">
        <f>CONCATENATE("8) Qual a média  de pessoas atendidas por profissional no  hospital  n° 20? ")</f>
        <v xml:space="preserve">8) Qual a média  de pessoas atendidas por profissional no  hospital  n° 20? </v>
      </c>
      <c r="L15" s="56"/>
      <c r="M15" s="56"/>
      <c r="N15" s="56"/>
      <c r="O15" s="56"/>
      <c r="P15" s="57"/>
      <c r="T15" s="28"/>
      <c r="U15" s="28"/>
      <c r="V15" s="53"/>
      <c r="W15" s="53"/>
      <c r="X15" s="53"/>
      <c r="Y15" s="53"/>
      <c r="Z15" s="5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3.5" customHeight="1" thickBot="1" x14ac:dyDescent="0.3">
      <c r="B16" s="67"/>
      <c r="C16" s="60">
        <v>8</v>
      </c>
      <c r="D16" s="61">
        <f>TRUNC(U$4-0.5*W$4)</f>
        <v>9410</v>
      </c>
      <c r="E16" s="62">
        <f>TRUNC(D16/30)+6</f>
        <v>319</v>
      </c>
      <c r="F16" s="105"/>
      <c r="G16" s="27" t="str">
        <f t="shared" si="1"/>
        <v/>
      </c>
      <c r="H16" s="106"/>
      <c r="I16" s="81" t="str">
        <f>IF(H16="","",IF(ABS(ABS(H16)-ABS($I$4-E16))&lt;1,"Certo","Errado"))</f>
        <v/>
      </c>
      <c r="J16" s="80"/>
      <c r="K16" s="49"/>
      <c r="L16" s="68" t="str">
        <f>IF(K16="","",IF(ABS(K16-D28/E28)&lt;1,"Certo"," A resposta não está correta!"))</f>
        <v/>
      </c>
      <c r="M16" s="56"/>
      <c r="N16" s="56"/>
      <c r="O16" s="59" t="s">
        <v>134</v>
      </c>
      <c r="P16" s="57"/>
      <c r="T16" s="28"/>
      <c r="U16" s="28"/>
      <c r="V16" s="53"/>
      <c r="W16" s="53"/>
      <c r="X16" s="53"/>
      <c r="Y16" s="53"/>
      <c r="Z16" s="53"/>
      <c r="AA16" s="7"/>
      <c r="AB16" s="7"/>
      <c r="AC16" s="7"/>
      <c r="AD16" s="7"/>
      <c r="AE16" s="7"/>
      <c r="AF16" s="7"/>
      <c r="AG16" s="7"/>
      <c r="AH16" s="7"/>
      <c r="AI16" s="7"/>
    </row>
    <row r="17" spans="2:35" ht="13.5" customHeight="1" x14ac:dyDescent="0.25">
      <c r="B17" s="67"/>
      <c r="C17" s="60">
        <v>9</v>
      </c>
      <c r="D17" s="61">
        <f>TRUNC(U$4-0.5*W$4)</f>
        <v>9410</v>
      </c>
      <c r="E17" s="62">
        <f t="shared" si="0"/>
        <v>317</v>
      </c>
      <c r="F17" s="105"/>
      <c r="G17" s="27" t="str">
        <f t="shared" si="1"/>
        <v/>
      </c>
      <c r="H17" s="106"/>
      <c r="I17" s="81" t="str">
        <f t="shared" si="2"/>
        <v/>
      </c>
      <c r="J17" s="80"/>
      <c r="K17" s="391" t="s">
        <v>161</v>
      </c>
      <c r="L17" s="391"/>
      <c r="M17" s="391"/>
      <c r="N17" s="391"/>
      <c r="O17" s="391"/>
      <c r="P17" s="391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2:35" ht="13.5" customHeight="1" thickBot="1" x14ac:dyDescent="0.3">
      <c r="B18" s="67"/>
      <c r="C18" s="60">
        <v>10</v>
      </c>
      <c r="D18" s="61">
        <f>TRUNC(U$4-0.5*W$4)</f>
        <v>9410</v>
      </c>
      <c r="E18" s="62">
        <f>TRUNC(D18/30)+5</f>
        <v>318</v>
      </c>
      <c r="F18" s="105"/>
      <c r="G18" s="27" t="str">
        <f t="shared" si="1"/>
        <v/>
      </c>
      <c r="H18" s="106"/>
      <c r="I18" s="81" t="str">
        <f t="shared" si="2"/>
        <v/>
      </c>
      <c r="J18" s="80"/>
      <c r="K18" s="391"/>
      <c r="L18" s="391"/>
      <c r="M18" s="391"/>
      <c r="N18" s="391"/>
      <c r="O18" s="391"/>
      <c r="P18" s="391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2:35" ht="13.5" customHeight="1" thickBot="1" x14ac:dyDescent="0.3">
      <c r="B19" s="67"/>
      <c r="C19" s="60">
        <v>11</v>
      </c>
      <c r="D19" s="61">
        <f>TRUNC(U$4+0.5*W$4)</f>
        <v>11501</v>
      </c>
      <c r="E19" s="62">
        <f>TRUNC(D19/30)+3</f>
        <v>386</v>
      </c>
      <c r="F19" s="105"/>
      <c r="G19" s="27" t="str">
        <f t="shared" si="1"/>
        <v/>
      </c>
      <c r="H19" s="106"/>
      <c r="I19" s="81" t="str">
        <f t="shared" si="2"/>
        <v/>
      </c>
      <c r="J19" s="80"/>
      <c r="K19" s="49"/>
      <c r="L19" s="68" t="str">
        <f>IF(K19="","",IF( ABS(ABS(K19)-ABS(D28/E28-SUM(D9:D28)/SUM(E9:E28)))&lt;1,"Certo"," A resposta não está correta!"))</f>
        <v/>
      </c>
      <c r="M19" s="56"/>
      <c r="N19" s="56"/>
      <c r="O19" s="59" t="s">
        <v>134</v>
      </c>
      <c r="P19" s="5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2:35" ht="13.5" customHeight="1" thickBot="1" x14ac:dyDescent="0.3">
      <c r="B20" s="67"/>
      <c r="C20" s="60">
        <v>12</v>
      </c>
      <c r="D20" s="61">
        <f>TRUNC(U$4+0.5*W$4)</f>
        <v>11501</v>
      </c>
      <c r="E20" s="62">
        <f t="shared" si="0"/>
        <v>387</v>
      </c>
      <c r="F20" s="105"/>
      <c r="G20" s="27" t="str">
        <f t="shared" si="1"/>
        <v/>
      </c>
      <c r="H20" s="106"/>
      <c r="I20" s="81" t="str">
        <f t="shared" si="2"/>
        <v/>
      </c>
      <c r="J20" s="80"/>
      <c r="K20" s="111" t="str">
        <f>CONCATENATE("10) Qual a média  de pessoas atendidas por profissional no posto de saúde N° 1? ")</f>
        <v xml:space="preserve">10) Qual a média  de pessoas atendidas por profissional no posto de saúde N° 1? </v>
      </c>
      <c r="L20" s="56"/>
      <c r="M20" s="56"/>
      <c r="N20" s="56"/>
      <c r="O20" s="56"/>
      <c r="P20" s="5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2:35" ht="13.5" customHeight="1" thickBot="1" x14ac:dyDescent="0.3">
      <c r="B21" s="67"/>
      <c r="C21" s="60">
        <v>13</v>
      </c>
      <c r="D21" s="61">
        <f>TRUNC(U$4+0.5*W$4)</f>
        <v>11501</v>
      </c>
      <c r="E21" s="62">
        <f>TRUNC(D21/30)+3</f>
        <v>386</v>
      </c>
      <c r="F21" s="105"/>
      <c r="G21" s="27" t="str">
        <f t="shared" si="1"/>
        <v/>
      </c>
      <c r="H21" s="106"/>
      <c r="I21" s="81" t="str">
        <f t="shared" si="2"/>
        <v/>
      </c>
      <c r="J21" s="80"/>
      <c r="K21" s="49"/>
      <c r="L21" s="68" t="str">
        <f>IF(K21="","",IF(ABS(K21-D9/E9 )&lt;1,"Certo"," A resposta não está correta!"))</f>
        <v/>
      </c>
      <c r="M21" s="56"/>
      <c r="N21" s="56"/>
      <c r="O21" s="59" t="s">
        <v>134</v>
      </c>
      <c r="P21" s="5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2:35" ht="13.5" customHeight="1" x14ac:dyDescent="0.25">
      <c r="B22" s="67"/>
      <c r="C22" s="60">
        <v>14</v>
      </c>
      <c r="D22" s="61">
        <f>TRUNC(U$4+1*W$4)</f>
        <v>12547</v>
      </c>
      <c r="E22" s="62">
        <f t="shared" si="0"/>
        <v>422</v>
      </c>
      <c r="F22" s="105"/>
      <c r="G22" s="27" t="str">
        <f t="shared" si="1"/>
        <v/>
      </c>
      <c r="H22" s="106"/>
      <c r="I22" s="81" t="str">
        <f t="shared" si="2"/>
        <v/>
      </c>
      <c r="J22" s="80"/>
      <c r="K22" s="391" t="s">
        <v>162</v>
      </c>
      <c r="L22" s="391"/>
      <c r="M22" s="391"/>
      <c r="N22" s="391"/>
      <c r="O22" s="391"/>
      <c r="P22" s="391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2:35" ht="13.5" customHeight="1" thickBot="1" x14ac:dyDescent="0.3">
      <c r="B23" s="67"/>
      <c r="C23" s="60">
        <v>15</v>
      </c>
      <c r="D23" s="61">
        <f>TRUNC(U$4+1*W$4)</f>
        <v>12547</v>
      </c>
      <c r="E23" s="62">
        <f>TRUNC(D23/30)+7</f>
        <v>425</v>
      </c>
      <c r="F23" s="105"/>
      <c r="G23" s="27" t="str">
        <f t="shared" si="1"/>
        <v/>
      </c>
      <c r="H23" s="106"/>
      <c r="I23" s="81" t="str">
        <f t="shared" si="2"/>
        <v/>
      </c>
      <c r="J23" s="80"/>
      <c r="K23" s="391"/>
      <c r="L23" s="391"/>
      <c r="M23" s="391"/>
      <c r="N23" s="391"/>
      <c r="O23" s="391"/>
      <c r="P23" s="391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2:35" ht="13.5" customHeight="1" thickBot="1" x14ac:dyDescent="0.3">
      <c r="B24" s="67"/>
      <c r="C24" s="60">
        <v>16</v>
      </c>
      <c r="D24" s="61">
        <f>TRUNC(U$4+1.5*W$4)</f>
        <v>13592</v>
      </c>
      <c r="E24" s="62">
        <f>TRUNC(D24/30)+3</f>
        <v>456</v>
      </c>
      <c r="F24" s="105"/>
      <c r="G24" s="27" t="str">
        <f t="shared" si="1"/>
        <v/>
      </c>
      <c r="H24" s="106"/>
      <c r="I24" s="81" t="str">
        <f t="shared" si="2"/>
        <v/>
      </c>
      <c r="J24" s="80"/>
      <c r="K24" s="49"/>
      <c r="L24" s="68" t="str">
        <f>IF(K24="","",IF( ABS(ABS(K24)-ABS(D9/E9-SUM(D9:D28)/SUM(E9:E28)))&lt;1,"Certo"," A resposta não está correta!"))</f>
        <v/>
      </c>
      <c r="M24" s="56"/>
      <c r="N24" s="56"/>
      <c r="O24" s="59" t="s">
        <v>134</v>
      </c>
      <c r="P24" s="5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2:35" ht="13.5" customHeight="1" thickBot="1" x14ac:dyDescent="0.3">
      <c r="B25" s="67"/>
      <c r="C25" s="60">
        <v>17</v>
      </c>
      <c r="D25" s="61">
        <f>TRUNC(U$4+1.5*W$4)</f>
        <v>13592</v>
      </c>
      <c r="E25" s="62">
        <f>TRUNC(D25/30)+6</f>
        <v>459</v>
      </c>
      <c r="F25" s="105"/>
      <c r="G25" s="27" t="str">
        <f t="shared" si="1"/>
        <v/>
      </c>
      <c r="H25" s="106"/>
      <c r="I25" s="81" t="str">
        <f t="shared" si="2"/>
        <v/>
      </c>
      <c r="J25" s="80"/>
      <c r="K25" s="109" t="s">
        <v>160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2:35" ht="13.5" customHeight="1" thickBot="1" x14ac:dyDescent="0.3">
      <c r="B26" s="67"/>
      <c r="C26" s="60">
        <v>18</v>
      </c>
      <c r="D26" s="61">
        <f>U$4+2*W$4</f>
        <v>14638</v>
      </c>
      <c r="E26" s="62">
        <f>TRUNC(D26/30)+4</f>
        <v>491</v>
      </c>
      <c r="F26" s="105"/>
      <c r="G26" s="27" t="str">
        <f t="shared" si="1"/>
        <v/>
      </c>
      <c r="H26" s="106"/>
      <c r="I26" s="81" t="str">
        <f t="shared" si="2"/>
        <v/>
      </c>
      <c r="J26" s="80"/>
      <c r="K26" s="49"/>
      <c r="L26" s="1" t="str">
        <f>IF(K26="","",IF(ABS(K26-AVERAGE(E9:E28))&lt;2,"Certo","Errado"))</f>
        <v/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2:35" ht="13.5" customHeight="1" x14ac:dyDescent="0.25">
      <c r="B27" s="67"/>
      <c r="C27" s="60">
        <v>19</v>
      </c>
      <c r="D27" s="61">
        <f>TRUNC(U$4+2.5*W$4)</f>
        <v>15683</v>
      </c>
      <c r="E27" s="62">
        <f t="shared" si="0"/>
        <v>526</v>
      </c>
      <c r="F27" s="105"/>
      <c r="G27" s="27" t="str">
        <f t="shared" si="1"/>
        <v/>
      </c>
      <c r="H27" s="106"/>
      <c r="I27" s="81" t="str">
        <f t="shared" si="2"/>
        <v/>
      </c>
      <c r="J27" s="80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35" ht="13.5" customHeight="1" thickBot="1" x14ac:dyDescent="0.3">
      <c r="B28" s="67"/>
      <c r="C28" s="71">
        <v>20</v>
      </c>
      <c r="D28" s="72">
        <f>TRUNC(U$4+10*W$4)</f>
        <v>31366</v>
      </c>
      <c r="E28" s="73">
        <f>TRUNC(D28/30)+7</f>
        <v>1052</v>
      </c>
      <c r="F28" s="105"/>
      <c r="G28" s="27" t="str">
        <f t="shared" si="1"/>
        <v/>
      </c>
      <c r="H28" s="83"/>
      <c r="I28" s="81" t="str">
        <f t="shared" si="2"/>
        <v/>
      </c>
      <c r="J28" s="80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2:35" ht="13.5" customHeight="1" thickBot="1" x14ac:dyDescent="0.3">
      <c r="B29" s="67"/>
      <c r="C29" s="74" t="s">
        <v>2</v>
      </c>
      <c r="D29" s="75">
        <f>SUM(D9:D28)</f>
        <v>223751</v>
      </c>
      <c r="E29" s="76">
        <f>SUM(E9:E28)</f>
        <v>7536</v>
      </c>
      <c r="F29" s="26"/>
      <c r="G29" s="26"/>
      <c r="H29" s="26"/>
      <c r="I29" s="79"/>
      <c r="J29" s="54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2:35" ht="15.75" customHeight="1" x14ac:dyDescent="0.25">
      <c r="B30" s="67"/>
      <c r="C30" s="47" t="s">
        <v>135</v>
      </c>
      <c r="F30" s="77" t="s">
        <v>136</v>
      </c>
      <c r="I30" s="79"/>
      <c r="J30" s="54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2:35" ht="15.75" customHeight="1" x14ac:dyDescent="0.25">
      <c r="B31" s="67"/>
      <c r="C31" s="84" t="s">
        <v>137</v>
      </c>
      <c r="D31" s="14">
        <f>AVERAGE(D9:D28)</f>
        <v>11187.55</v>
      </c>
      <c r="E31" s="85">
        <f>AVERAGE(E9:E28)</f>
        <v>376.8</v>
      </c>
      <c r="I31" s="79"/>
      <c r="J31" s="54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2:35" ht="15.75" customHeight="1" x14ac:dyDescent="0.25"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</row>
    <row r="33" spans="1:19" ht="15.75" customHeight="1" x14ac:dyDescent="0.25">
      <c r="A33" s="1"/>
      <c r="B33" s="41"/>
      <c r="C33" s="137"/>
      <c r="D33" s="7"/>
      <c r="E33" s="7"/>
      <c r="F33" s="7"/>
      <c r="G33" s="7"/>
      <c r="H33" s="7"/>
      <c r="I33" s="144"/>
      <c r="J33" s="54"/>
      <c r="K33" s="7"/>
      <c r="L33" s="7"/>
      <c r="M33" s="7"/>
      <c r="N33" s="7"/>
      <c r="O33" s="7"/>
      <c r="P33" s="7"/>
      <c r="Q33" s="7"/>
      <c r="R33" s="7"/>
      <c r="S33" s="1"/>
    </row>
    <row r="34" spans="1:19" x14ac:dyDescent="0.25">
      <c r="A34" s="1"/>
      <c r="B34" s="7"/>
      <c r="C34" s="137"/>
      <c r="D34" s="7"/>
      <c r="E34" s="7"/>
      <c r="F34" s="7"/>
      <c r="G34" s="7"/>
      <c r="H34" s="7"/>
      <c r="I34" s="7"/>
      <c r="J34" s="54"/>
      <c r="K34" s="7"/>
      <c r="L34" s="7"/>
      <c r="M34" s="7"/>
      <c r="N34" s="7"/>
      <c r="O34" s="7"/>
      <c r="P34" s="7"/>
      <c r="Q34" s="7"/>
      <c r="R34" s="7"/>
      <c r="S34" s="1"/>
    </row>
    <row r="35" spans="1:19" x14ac:dyDescent="0.25">
      <c r="A35" s="1"/>
      <c r="B35" s="7"/>
      <c r="C35" s="137"/>
      <c r="D35" s="7"/>
      <c r="E35" s="7"/>
      <c r="F35" s="7"/>
      <c r="G35" s="7"/>
      <c r="H35" s="7"/>
      <c r="I35" s="7"/>
      <c r="J35" s="54"/>
      <c r="K35" s="7"/>
      <c r="L35" s="7"/>
      <c r="M35" s="7"/>
      <c r="N35" s="7"/>
      <c r="O35" s="7"/>
      <c r="P35" s="7"/>
      <c r="Q35" s="7"/>
      <c r="R35" s="7"/>
      <c r="S35" s="1"/>
    </row>
    <row r="36" spans="1:19" x14ac:dyDescent="0.25">
      <c r="A36" s="1"/>
      <c r="B36" s="7"/>
      <c r="C36" s="137"/>
      <c r="D36" s="7"/>
      <c r="E36" s="7"/>
      <c r="F36" s="7"/>
      <c r="G36" s="7"/>
      <c r="H36" s="7"/>
      <c r="I36" s="7"/>
      <c r="J36" s="54"/>
      <c r="K36" s="7"/>
      <c r="L36" s="7"/>
      <c r="M36" s="7"/>
      <c r="N36" s="7"/>
      <c r="O36" s="7"/>
      <c r="P36" s="7"/>
      <c r="Q36" s="7"/>
      <c r="R36" s="7"/>
      <c r="S36" s="1"/>
    </row>
    <row r="37" spans="1:19" x14ac:dyDescent="0.25">
      <c r="A37" s="1"/>
      <c r="B37" s="7"/>
      <c r="C37" s="137"/>
      <c r="D37" s="7"/>
      <c r="E37" s="7"/>
      <c r="F37" s="7"/>
      <c r="G37" s="7"/>
      <c r="H37" s="7"/>
      <c r="I37" s="7"/>
      <c r="J37" s="54"/>
      <c r="K37" s="7"/>
      <c r="L37" s="7"/>
      <c r="M37" s="7"/>
      <c r="N37" s="7"/>
      <c r="O37" s="7"/>
      <c r="P37" s="7"/>
      <c r="Q37" s="7"/>
      <c r="R37" s="7"/>
      <c r="S37" s="1"/>
    </row>
    <row r="38" spans="1:19" x14ac:dyDescent="0.25">
      <c r="A38" s="1"/>
      <c r="B38" s="7"/>
      <c r="C38" s="13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"/>
    </row>
    <row r="39" spans="1:19" x14ac:dyDescent="0.25">
      <c r="A39" s="1"/>
      <c r="B39" s="7"/>
      <c r="C39" s="13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"/>
    </row>
    <row r="40" spans="1:19" x14ac:dyDescent="0.25">
      <c r="A40" s="1"/>
      <c r="B40" s="7"/>
      <c r="C40" s="13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"/>
    </row>
    <row r="41" spans="1:19" x14ac:dyDescent="0.25">
      <c r="A41" s="1"/>
      <c r="B41" s="7"/>
      <c r="C41" s="13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"/>
    </row>
    <row r="42" spans="1:19" x14ac:dyDescent="0.25">
      <c r="A42" s="1"/>
      <c r="B42" s="7"/>
      <c r="C42" s="13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"/>
    </row>
    <row r="43" spans="1:19" x14ac:dyDescent="0.25">
      <c r="A43" s="1"/>
      <c r="B43" s="7"/>
      <c r="C43" s="13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"/>
    </row>
    <row r="44" spans="1:19" x14ac:dyDescent="0.25">
      <c r="A44" s="1"/>
      <c r="S44" s="1"/>
    </row>
    <row r="45" spans="1:19" x14ac:dyDescent="0.25">
      <c r="A45" s="1"/>
      <c r="S45" s="1"/>
    </row>
    <row r="46" spans="1:19" x14ac:dyDescent="0.25">
      <c r="A46" s="1"/>
      <c r="S46" s="1"/>
    </row>
    <row r="47" spans="1:19" x14ac:dyDescent="0.25">
      <c r="A47" s="1"/>
      <c r="S47" s="1"/>
    </row>
    <row r="48" spans="1:19" x14ac:dyDescent="0.25">
      <c r="A48" s="1"/>
      <c r="S48" s="1"/>
    </row>
    <row r="49" spans="1:19" x14ac:dyDescent="0.25">
      <c r="A49" s="1"/>
      <c r="S49" s="1"/>
    </row>
    <row r="50" spans="1:19" x14ac:dyDescent="0.25">
      <c r="A50" s="1"/>
      <c r="S50" s="1"/>
    </row>
    <row r="51" spans="1:19" x14ac:dyDescent="0.25">
      <c r="A51" s="1"/>
      <c r="S51" s="1"/>
    </row>
    <row r="52" spans="1:19" x14ac:dyDescent="0.25">
      <c r="A52" s="1"/>
      <c r="S52" s="1"/>
    </row>
    <row r="53" spans="1:19" x14ac:dyDescent="0.25">
      <c r="A53" s="1"/>
      <c r="S53" s="1"/>
    </row>
    <row r="54" spans="1:19" x14ac:dyDescent="0.25">
      <c r="A54" s="1"/>
      <c r="S54" s="1"/>
    </row>
    <row r="55" spans="1:19" x14ac:dyDescent="0.25">
      <c r="A55" s="1"/>
      <c r="S55" s="1"/>
    </row>
    <row r="56" spans="1:19" x14ac:dyDescent="0.25">
      <c r="A56" s="1"/>
      <c r="S56" s="1"/>
    </row>
    <row r="57" spans="1:19" x14ac:dyDescent="0.25">
      <c r="A57" s="1"/>
      <c r="S57" s="1"/>
    </row>
    <row r="58" spans="1:19" x14ac:dyDescent="0.25">
      <c r="A58" s="1"/>
      <c r="S58" s="1"/>
    </row>
    <row r="59" spans="1:19" x14ac:dyDescent="0.25">
      <c r="A59" s="1"/>
      <c r="S59" s="1"/>
    </row>
    <row r="60" spans="1:19" x14ac:dyDescent="0.25">
      <c r="A60" s="1"/>
      <c r="S60" s="1"/>
    </row>
    <row r="61" spans="1:19" x14ac:dyDescent="0.25">
      <c r="A61" s="1"/>
      <c r="S61" s="1"/>
    </row>
    <row r="62" spans="1:19" x14ac:dyDescent="0.25">
      <c r="A62" s="1"/>
      <c r="S62" s="1"/>
    </row>
    <row r="63" spans="1:19" x14ac:dyDescent="0.25">
      <c r="A63" s="1"/>
      <c r="S63" s="1"/>
    </row>
    <row r="64" spans="1:19" x14ac:dyDescent="0.25">
      <c r="A64" s="1"/>
      <c r="S64" s="1"/>
    </row>
    <row r="65" spans="1:19" x14ac:dyDescent="0.25">
      <c r="A65" s="1"/>
      <c r="S65" s="1"/>
    </row>
    <row r="66" spans="1:19" x14ac:dyDescent="0.25">
      <c r="A66" s="1"/>
      <c r="S66" s="1"/>
    </row>
    <row r="67" spans="1:19" x14ac:dyDescent="0.25">
      <c r="A67" s="1"/>
      <c r="S67" s="1"/>
    </row>
    <row r="68" spans="1:19" x14ac:dyDescent="0.25">
      <c r="A68" s="1"/>
      <c r="S68" s="1"/>
    </row>
    <row r="69" spans="1:19" x14ac:dyDescent="0.25">
      <c r="A69" s="1"/>
      <c r="S69" s="1"/>
    </row>
    <row r="70" spans="1:19" x14ac:dyDescent="0.25">
      <c r="A70" s="1"/>
      <c r="S70" s="1"/>
    </row>
    <row r="71" spans="1:19" x14ac:dyDescent="0.25">
      <c r="A71" s="1"/>
      <c r="S71" s="1"/>
    </row>
    <row r="72" spans="1:19" x14ac:dyDescent="0.25">
      <c r="A72" s="1"/>
      <c r="S72" s="1"/>
    </row>
    <row r="73" spans="1:19" x14ac:dyDescent="0.25">
      <c r="A73" s="1"/>
      <c r="S73" s="1"/>
    </row>
    <row r="74" spans="1:19" x14ac:dyDescent="0.25">
      <c r="A74" s="1"/>
      <c r="S74" s="1"/>
    </row>
    <row r="75" spans="1:19" x14ac:dyDescent="0.25">
      <c r="A75" s="1"/>
      <c r="S75" s="1"/>
    </row>
    <row r="76" spans="1:19" x14ac:dyDescent="0.25">
      <c r="A76" s="1"/>
      <c r="S76" s="1"/>
    </row>
    <row r="77" spans="1:19" x14ac:dyDescent="0.25">
      <c r="A77" s="1"/>
      <c r="S77" s="1"/>
    </row>
    <row r="78" spans="1:19" x14ac:dyDescent="0.25">
      <c r="A78" s="1"/>
      <c r="S78" s="1"/>
    </row>
    <row r="79" spans="1:19" x14ac:dyDescent="0.25">
      <c r="A79" s="1"/>
      <c r="S79" s="1"/>
    </row>
    <row r="80" spans="1:19" x14ac:dyDescent="0.25">
      <c r="A80" s="1"/>
      <c r="S80" s="1"/>
    </row>
    <row r="81" spans="1:19" x14ac:dyDescent="0.25">
      <c r="A81" s="1"/>
      <c r="S81" s="1"/>
    </row>
    <row r="82" spans="1:19" x14ac:dyDescent="0.25">
      <c r="A82" s="1"/>
      <c r="S82" s="1"/>
    </row>
    <row r="83" spans="1:19" x14ac:dyDescent="0.25">
      <c r="A83" s="1"/>
      <c r="S83" s="1"/>
    </row>
    <row r="84" spans="1:19" x14ac:dyDescent="0.25">
      <c r="A84" s="1"/>
      <c r="S84" s="1"/>
    </row>
    <row r="85" spans="1:19" x14ac:dyDescent="0.25">
      <c r="A85" s="1"/>
      <c r="S85" s="1"/>
    </row>
    <row r="86" spans="1:19" x14ac:dyDescent="0.25">
      <c r="A86" s="1"/>
      <c r="S86" s="1"/>
    </row>
    <row r="87" spans="1:19" x14ac:dyDescent="0.25">
      <c r="A87" s="1"/>
      <c r="S87" s="1"/>
    </row>
    <row r="88" spans="1:19" x14ac:dyDescent="0.25">
      <c r="A88" s="1"/>
      <c r="S88" s="1"/>
    </row>
    <row r="89" spans="1:19" x14ac:dyDescent="0.25">
      <c r="A89" s="1"/>
      <c r="S89" s="1"/>
    </row>
    <row r="90" spans="1:19" x14ac:dyDescent="0.25">
      <c r="A90" s="1"/>
      <c r="S90" s="1"/>
    </row>
    <row r="91" spans="1:19" x14ac:dyDescent="0.25">
      <c r="A91" s="1"/>
      <c r="S91" s="1"/>
    </row>
    <row r="92" spans="1:19" x14ac:dyDescent="0.25">
      <c r="A92" s="1"/>
      <c r="S92" s="1"/>
    </row>
    <row r="93" spans="1:19" x14ac:dyDescent="0.25">
      <c r="A93" s="1"/>
      <c r="S93" s="1"/>
    </row>
    <row r="94" spans="1:19" x14ac:dyDescent="0.25">
      <c r="A94" s="1"/>
      <c r="S94" s="1"/>
    </row>
    <row r="95" spans="1:19" x14ac:dyDescent="0.25">
      <c r="A95" s="1"/>
      <c r="S95" s="1"/>
    </row>
    <row r="96" spans="1:19" x14ac:dyDescent="0.25">
      <c r="A96" s="1"/>
      <c r="S96" s="1"/>
    </row>
    <row r="97" spans="1:19" x14ac:dyDescent="0.25">
      <c r="A97" s="1"/>
      <c r="S97" s="1"/>
    </row>
    <row r="98" spans="1:19" x14ac:dyDescent="0.25">
      <c r="A98" s="1"/>
      <c r="S98" s="1"/>
    </row>
    <row r="99" spans="1:19" x14ac:dyDescent="0.25">
      <c r="A99" s="1"/>
      <c r="S99" s="1"/>
    </row>
    <row r="100" spans="1:19" x14ac:dyDescent="0.25">
      <c r="A100" s="1"/>
      <c r="S100" s="1"/>
    </row>
    <row r="101" spans="1:19" x14ac:dyDescent="0.25">
      <c r="A101" s="1"/>
      <c r="S101" s="1"/>
    </row>
    <row r="102" spans="1:19" x14ac:dyDescent="0.25">
      <c r="A102" s="1"/>
      <c r="S102" s="1"/>
    </row>
    <row r="103" spans="1:19" x14ac:dyDescent="0.25">
      <c r="A103" s="1"/>
      <c r="S103" s="1"/>
    </row>
    <row r="104" spans="1:19" x14ac:dyDescent="0.25">
      <c r="A104" s="1"/>
      <c r="S104" s="1"/>
    </row>
    <row r="105" spans="1:19" x14ac:dyDescent="0.25">
      <c r="A105" s="1"/>
      <c r="S105" s="1"/>
    </row>
    <row r="106" spans="1:19" x14ac:dyDescent="0.25">
      <c r="A106" s="1"/>
      <c r="S106" s="1"/>
    </row>
    <row r="107" spans="1:19" x14ac:dyDescent="0.25">
      <c r="A107" s="1"/>
      <c r="S107" s="1"/>
    </row>
    <row r="108" spans="1:19" x14ac:dyDescent="0.25">
      <c r="A108" s="1"/>
      <c r="S108" s="1"/>
    </row>
    <row r="109" spans="1:19" x14ac:dyDescent="0.25">
      <c r="A109" s="1"/>
      <c r="S109" s="1"/>
    </row>
    <row r="110" spans="1:19" x14ac:dyDescent="0.25">
      <c r="A110" s="1"/>
      <c r="S110" s="1"/>
    </row>
    <row r="111" spans="1:19" x14ac:dyDescent="0.25">
      <c r="A111" s="1"/>
      <c r="S111" s="1"/>
    </row>
    <row r="112" spans="1:19" x14ac:dyDescent="0.25">
      <c r="A112" s="1"/>
      <c r="S112" s="1"/>
    </row>
    <row r="113" spans="1:19" x14ac:dyDescent="0.25">
      <c r="A113" s="1"/>
      <c r="S113" s="1"/>
    </row>
    <row r="114" spans="1:19" x14ac:dyDescent="0.25">
      <c r="A114" s="1"/>
      <c r="S114" s="1"/>
    </row>
    <row r="115" spans="1:19" x14ac:dyDescent="0.25">
      <c r="A115" s="1"/>
      <c r="S115" s="1"/>
    </row>
    <row r="116" spans="1:19" x14ac:dyDescent="0.25">
      <c r="A116" s="1"/>
      <c r="S116" s="1"/>
    </row>
    <row r="117" spans="1:19" x14ac:dyDescent="0.25">
      <c r="A117" s="1"/>
      <c r="S117" s="1"/>
    </row>
    <row r="118" spans="1:19" x14ac:dyDescent="0.25">
      <c r="A118" s="1"/>
      <c r="S118" s="1"/>
    </row>
    <row r="119" spans="1:19" x14ac:dyDescent="0.25">
      <c r="A119" s="1"/>
      <c r="S119" s="1"/>
    </row>
    <row r="120" spans="1:19" x14ac:dyDescent="0.25">
      <c r="A120" s="1"/>
      <c r="S120" s="1"/>
    </row>
    <row r="121" spans="1:19" x14ac:dyDescent="0.25">
      <c r="A121" s="1"/>
      <c r="S121" s="1"/>
    </row>
    <row r="122" spans="1:19" x14ac:dyDescent="0.25">
      <c r="A122" s="1"/>
      <c r="S122" s="1"/>
    </row>
    <row r="123" spans="1:19" x14ac:dyDescent="0.25">
      <c r="A123" s="1"/>
      <c r="S123" s="1"/>
    </row>
    <row r="124" spans="1:19" x14ac:dyDescent="0.25">
      <c r="A124" s="1"/>
      <c r="S124" s="1"/>
    </row>
    <row r="125" spans="1:19" x14ac:dyDescent="0.25">
      <c r="A125" s="1"/>
      <c r="S125" s="1"/>
    </row>
    <row r="126" spans="1:19" x14ac:dyDescent="0.25">
      <c r="A126" s="1"/>
      <c r="S126" s="1"/>
    </row>
    <row r="127" spans="1:19" x14ac:dyDescent="0.25">
      <c r="A127" s="1"/>
      <c r="S127" s="1"/>
    </row>
    <row r="128" spans="1:19" x14ac:dyDescent="0.25">
      <c r="A128" s="1"/>
      <c r="S128" s="1"/>
    </row>
    <row r="129" spans="1:19" x14ac:dyDescent="0.25">
      <c r="A129" s="1"/>
      <c r="S129" s="1"/>
    </row>
    <row r="130" spans="1:19" x14ac:dyDescent="0.25">
      <c r="A130" s="1"/>
      <c r="S130" s="1"/>
    </row>
    <row r="131" spans="1:19" x14ac:dyDescent="0.25">
      <c r="A131" s="1"/>
      <c r="S131" s="1"/>
    </row>
    <row r="132" spans="1:19" x14ac:dyDescent="0.25">
      <c r="A132" s="1"/>
      <c r="S132" s="1"/>
    </row>
    <row r="133" spans="1:19" x14ac:dyDescent="0.25">
      <c r="A133" s="1"/>
      <c r="S133" s="1"/>
    </row>
    <row r="134" spans="1:19" x14ac:dyDescent="0.25">
      <c r="A134" s="1"/>
      <c r="S134" s="1"/>
    </row>
    <row r="135" spans="1:19" x14ac:dyDescent="0.25">
      <c r="A135" s="1"/>
      <c r="S135" s="1"/>
    </row>
    <row r="136" spans="1:19" x14ac:dyDescent="0.25">
      <c r="A136" s="1"/>
      <c r="S136" s="1"/>
    </row>
    <row r="137" spans="1:19" x14ac:dyDescent="0.25">
      <c r="A137" s="1"/>
      <c r="S137" s="1"/>
    </row>
    <row r="138" spans="1:19" x14ac:dyDescent="0.25">
      <c r="A138" s="1"/>
      <c r="S138" s="1"/>
    </row>
    <row r="139" spans="1:19" x14ac:dyDescent="0.25">
      <c r="A139" s="1"/>
      <c r="S139" s="1"/>
    </row>
    <row r="140" spans="1:19" x14ac:dyDescent="0.25">
      <c r="A140" s="1"/>
      <c r="S140" s="1"/>
    </row>
    <row r="141" spans="1:19" x14ac:dyDescent="0.25">
      <c r="A141" s="1"/>
      <c r="S141" s="1"/>
    </row>
    <row r="142" spans="1:19" x14ac:dyDescent="0.25">
      <c r="A142" s="1"/>
      <c r="S142" s="1"/>
    </row>
    <row r="143" spans="1:19" x14ac:dyDescent="0.25">
      <c r="A143" s="1"/>
      <c r="S143" s="1"/>
    </row>
    <row r="144" spans="1:19" x14ac:dyDescent="0.25">
      <c r="A144" s="1"/>
      <c r="S144" s="1"/>
    </row>
    <row r="145" spans="1:19" x14ac:dyDescent="0.25">
      <c r="A145" s="1"/>
      <c r="S145" s="1"/>
    </row>
  </sheetData>
  <mergeCells count="12">
    <mergeCell ref="K17:P18"/>
    <mergeCell ref="K22:P23"/>
    <mergeCell ref="C3:H3"/>
    <mergeCell ref="C4:H4"/>
    <mergeCell ref="C5:C8"/>
    <mergeCell ref="D5:D8"/>
    <mergeCell ref="E5:E8"/>
    <mergeCell ref="F5:F8"/>
    <mergeCell ref="G5:G8"/>
    <mergeCell ref="H5:H8"/>
    <mergeCell ref="I9:J9"/>
    <mergeCell ref="K3:Q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10"/>
  <sheetViews>
    <sheetView topLeftCell="A3" workbookViewId="0">
      <selection activeCell="W8" sqref="W8"/>
    </sheetView>
  </sheetViews>
  <sheetFormatPr defaultColWidth="15.42578125" defaultRowHeight="15" x14ac:dyDescent="0.25"/>
  <cols>
    <col min="1" max="1" width="2.140625" style="124" customWidth="1"/>
    <col min="2" max="2" width="2" style="1" customWidth="1"/>
    <col min="3" max="3" width="12.28515625" style="1" customWidth="1"/>
    <col min="4" max="4" width="11.5703125" style="1" customWidth="1"/>
    <col min="5" max="5" width="5.28515625" style="1" customWidth="1"/>
    <col min="6" max="6" width="11.28515625" style="1" customWidth="1"/>
    <col min="7" max="7" width="9" style="1" customWidth="1"/>
    <col min="8" max="8" width="7.140625" style="1" customWidth="1"/>
    <col min="9" max="9" width="14.140625" style="1" customWidth="1"/>
    <col min="10" max="10" width="9.140625" style="1" customWidth="1"/>
    <col min="11" max="11" width="7.42578125" style="1" customWidth="1"/>
    <col min="12" max="12" width="6.85546875" style="1" customWidth="1"/>
    <col min="13" max="13" width="8.5703125" style="1" customWidth="1"/>
    <col min="14" max="19" width="7.5703125" style="1" customWidth="1"/>
    <col min="20" max="20" width="7" style="1" customWidth="1"/>
    <col min="21" max="21" width="2" style="124" customWidth="1"/>
    <col min="22" max="16384" width="15.42578125" style="1"/>
  </cols>
  <sheetData>
    <row r="1" spans="1:44" s="113" customFormat="1" ht="4.5" hidden="1" customHeight="1" x14ac:dyDescent="0.15">
      <c r="A1" s="122"/>
      <c r="C1" s="114" t="s">
        <v>1</v>
      </c>
      <c r="D1" s="115">
        <v>66967330.049999997</v>
      </c>
      <c r="E1" s="115">
        <v>67273418.879999995</v>
      </c>
      <c r="F1" s="115">
        <v>60694525.909999996</v>
      </c>
      <c r="G1" s="115">
        <v>59920559.119999997</v>
      </c>
      <c r="H1" s="115">
        <v>67759154.959999993</v>
      </c>
      <c r="I1" s="115">
        <v>61604011.170000002</v>
      </c>
      <c r="J1" s="115">
        <v>70785182.079999998</v>
      </c>
      <c r="K1" s="115"/>
      <c r="L1" s="115">
        <v>46572133.409999996</v>
      </c>
      <c r="M1" s="115">
        <v>56235650.140000001</v>
      </c>
      <c r="N1" s="115">
        <v>62050495.890000001</v>
      </c>
      <c r="O1" s="115">
        <v>80556915.370000005</v>
      </c>
      <c r="P1" s="115">
        <v>86498602.700000003</v>
      </c>
      <c r="Q1" s="115">
        <v>786917979.67999995</v>
      </c>
      <c r="U1" s="122"/>
    </row>
    <row r="2" spans="1:44" s="116" customFormat="1" ht="16.5" hidden="1" x14ac:dyDescent="0.15">
      <c r="A2" s="120"/>
      <c r="C2" s="2" t="str">
        <f t="shared" ref="C2" si="0">C1</f>
        <v xml:space="preserve">TOTAL GERAL </v>
      </c>
      <c r="D2" s="2">
        <f>D1/100000</f>
        <v>669.67330049999998</v>
      </c>
      <c r="E2" s="2">
        <f>E1/100000</f>
        <v>672.73418879999997</v>
      </c>
      <c r="F2" s="2">
        <f>F1/100000</f>
        <v>606.94525909999993</v>
      </c>
      <c r="G2" s="2">
        <f>G1/100000</f>
        <v>599.20559119999996</v>
      </c>
      <c r="H2" s="2">
        <f t="shared" ref="H2:J2" si="1">H1/100000</f>
        <v>677.59154959999989</v>
      </c>
      <c r="I2" s="2">
        <f t="shared" si="1"/>
        <v>616.04011170000001</v>
      </c>
      <c r="J2" s="2">
        <f t="shared" si="1"/>
        <v>707.85182079999993</v>
      </c>
      <c r="K2" s="2">
        <f t="shared" ref="K2:P2" si="2">L1/100000</f>
        <v>465.72133409999998</v>
      </c>
      <c r="L2" s="2">
        <f t="shared" si="2"/>
        <v>562.35650139999996</v>
      </c>
      <c r="M2" s="2">
        <f t="shared" si="2"/>
        <v>620.50495890000002</v>
      </c>
      <c r="N2" s="2">
        <f t="shared" si="2"/>
        <v>805.56915370000002</v>
      </c>
      <c r="O2" s="2">
        <f t="shared" si="2"/>
        <v>864.98602700000004</v>
      </c>
      <c r="P2" s="2">
        <f t="shared" si="2"/>
        <v>7869.1797967999992</v>
      </c>
      <c r="U2" s="120"/>
    </row>
    <row r="3" spans="1:44" s="120" customFormat="1" ht="14.25" customHeight="1" x14ac:dyDescent="0.15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</row>
    <row r="4" spans="1:44" s="116" customFormat="1" ht="8.25" x14ac:dyDescent="0.15">
      <c r="A4" s="12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20"/>
    </row>
    <row r="5" spans="1:44" s="117" customFormat="1" ht="18.75" x14ac:dyDescent="0.3">
      <c r="A5" s="123"/>
      <c r="D5" s="254"/>
      <c r="E5" s="254"/>
      <c r="F5" s="254" t="s">
        <v>100</v>
      </c>
      <c r="G5" s="254"/>
      <c r="H5" s="254"/>
      <c r="I5" s="254"/>
      <c r="J5" s="305"/>
      <c r="K5" s="305"/>
      <c r="L5" s="306"/>
      <c r="M5" s="306"/>
      <c r="N5" s="306"/>
      <c r="O5" s="306"/>
      <c r="P5" s="306"/>
      <c r="Q5" s="306"/>
      <c r="R5" s="306"/>
      <c r="U5" s="123"/>
    </row>
    <row r="6" spans="1:44" x14ac:dyDescent="0.25"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</row>
    <row r="7" spans="1:44" ht="37.5" customHeight="1" thickBot="1" x14ac:dyDescent="0.3">
      <c r="C7" s="417" t="s">
        <v>180</v>
      </c>
      <c r="D7" s="417"/>
      <c r="E7" s="308"/>
      <c r="F7" s="418" t="s">
        <v>181</v>
      </c>
      <c r="G7" s="419"/>
      <c r="H7" s="41"/>
      <c r="I7" s="423" t="s">
        <v>169</v>
      </c>
      <c r="J7" s="423"/>
      <c r="K7" s="423"/>
      <c r="L7" s="423"/>
      <c r="M7" s="41"/>
      <c r="N7" s="41"/>
      <c r="O7" s="41"/>
      <c r="P7" s="41"/>
      <c r="Q7" s="118"/>
    </row>
    <row r="8" spans="1:44" ht="48" customHeight="1" thickBot="1" x14ac:dyDescent="0.35">
      <c r="A8" s="125"/>
      <c r="B8" s="67"/>
      <c r="C8" s="309" t="s">
        <v>163</v>
      </c>
      <c r="D8" s="310" t="s">
        <v>184</v>
      </c>
      <c r="E8" s="311"/>
      <c r="F8" s="312" t="str">
        <f>C8</f>
        <v>Nº da amostra</v>
      </c>
      <c r="G8" s="313" t="str">
        <f>D8</f>
        <v xml:space="preserve">   Peso da amostra (mg)</v>
      </c>
      <c r="H8" s="347"/>
      <c r="I8" s="346" t="s">
        <v>164</v>
      </c>
      <c r="J8" s="424" t="str">
        <f>G8</f>
        <v xml:space="preserve">   Peso da amostra (mg)</v>
      </c>
      <c r="K8" s="425"/>
      <c r="L8" s="332"/>
      <c r="M8" s="307"/>
      <c r="N8" s="307"/>
      <c r="O8" s="307"/>
      <c r="P8" s="307"/>
      <c r="Q8" s="307"/>
      <c r="R8" s="307"/>
      <c r="S8" s="307"/>
      <c r="T8" s="307"/>
    </row>
    <row r="9" spans="1:44" ht="18.75" x14ac:dyDescent="0.25">
      <c r="A9" s="125"/>
      <c r="B9" s="67"/>
      <c r="C9" s="314">
        <v>1</v>
      </c>
      <c r="D9" s="315">
        <f t="array" ref="D9:D21">TRANSPOSE(D2:P2)</f>
        <v>669.67330049999998</v>
      </c>
      <c r="E9" s="316"/>
      <c r="F9" s="146">
        <v>8</v>
      </c>
      <c r="G9" s="147">
        <f>D16</f>
        <v>465.72133409999998</v>
      </c>
      <c r="H9" s="348"/>
      <c r="I9" s="340" t="s">
        <v>4</v>
      </c>
      <c r="J9" s="341">
        <f>G9</f>
        <v>465.72133409999998</v>
      </c>
      <c r="K9" s="130"/>
      <c r="L9" s="307"/>
      <c r="M9" s="307"/>
      <c r="N9" s="307"/>
      <c r="O9" s="307"/>
      <c r="P9" s="307"/>
      <c r="Q9" s="307"/>
      <c r="R9" s="307"/>
      <c r="S9" s="307"/>
      <c r="T9" s="307"/>
      <c r="U9" s="125"/>
    </row>
    <row r="10" spans="1:44" ht="18.75" x14ac:dyDescent="0.25">
      <c r="A10" s="125"/>
      <c r="B10" s="67"/>
      <c r="C10" s="160">
        <v>2</v>
      </c>
      <c r="D10" s="161">
        <v>672.73418879999997</v>
      </c>
      <c r="E10" s="316"/>
      <c r="F10" s="148">
        <v>9</v>
      </c>
      <c r="G10" s="149">
        <f>D17</f>
        <v>562.35650139999996</v>
      </c>
      <c r="H10" s="348"/>
      <c r="I10" s="340" t="s">
        <v>5</v>
      </c>
      <c r="J10" s="341">
        <f t="shared" ref="J10:J20" si="3">G10</f>
        <v>562.35650139999996</v>
      </c>
      <c r="K10" s="130"/>
      <c r="L10" s="307"/>
      <c r="M10" s="307"/>
      <c r="N10" s="307"/>
      <c r="O10" s="307"/>
      <c r="P10" s="307"/>
      <c r="Q10" s="307"/>
      <c r="R10" s="307"/>
      <c r="S10" s="307"/>
      <c r="T10" s="307"/>
      <c r="U10" s="125"/>
    </row>
    <row r="11" spans="1:44" ht="18.75" customHeight="1" x14ac:dyDescent="0.25">
      <c r="A11" s="125"/>
      <c r="B11" s="67"/>
      <c r="C11" s="152">
        <v>3</v>
      </c>
      <c r="D11" s="153">
        <v>606.94525909999993</v>
      </c>
      <c r="E11" s="316"/>
      <c r="F11" s="150">
        <v>4</v>
      </c>
      <c r="G11" s="151">
        <f>D12</f>
        <v>599.20559119999996</v>
      </c>
      <c r="H11" s="348"/>
      <c r="I11" s="340" t="s">
        <v>6</v>
      </c>
      <c r="J11" s="341">
        <f t="shared" si="3"/>
        <v>599.20559119999996</v>
      </c>
      <c r="K11" s="130"/>
      <c r="L11" s="421" t="str">
        <f>CONCATENATE( "Interpretação: 50% das cápsulas  está  abaixo de ",ROUND((VALUE(J14)+VALUE(J15))/2,0),"mg.")</f>
        <v>Interpretação: 50% das cápsulas  está  abaixo de 645mg.</v>
      </c>
      <c r="M11" s="421"/>
      <c r="N11" s="421"/>
      <c r="O11" s="421"/>
      <c r="P11" s="421"/>
      <c r="Q11" s="421"/>
      <c r="R11" s="421"/>
      <c r="S11" s="421"/>
      <c r="T11" s="133"/>
      <c r="U11" s="125"/>
    </row>
    <row r="12" spans="1:44" ht="18.75" customHeight="1" x14ac:dyDescent="0.25">
      <c r="A12" s="125"/>
      <c r="B12" s="67"/>
      <c r="C12" s="150">
        <v>4</v>
      </c>
      <c r="D12" s="151">
        <v>599.20559119999996</v>
      </c>
      <c r="E12" s="316"/>
      <c r="F12" s="152">
        <v>3</v>
      </c>
      <c r="G12" s="153">
        <f>D11</f>
        <v>606.94525909999993</v>
      </c>
      <c r="H12" s="348"/>
      <c r="I12" s="340" t="s">
        <v>7</v>
      </c>
      <c r="J12" s="341">
        <f t="shared" si="3"/>
        <v>606.94525909999993</v>
      </c>
      <c r="K12" s="130"/>
      <c r="L12" s="421"/>
      <c r="M12" s="421"/>
      <c r="N12" s="421"/>
      <c r="O12" s="421"/>
      <c r="P12" s="421"/>
      <c r="Q12" s="421"/>
      <c r="R12" s="421"/>
      <c r="S12" s="421"/>
      <c r="T12" s="133"/>
    </row>
    <row r="13" spans="1:44" ht="18.75" x14ac:dyDescent="0.25">
      <c r="A13" s="125"/>
      <c r="B13" s="67"/>
      <c r="C13" s="162">
        <v>5</v>
      </c>
      <c r="D13" s="163">
        <v>677.59154959999989</v>
      </c>
      <c r="E13" s="316"/>
      <c r="F13" s="154">
        <v>6</v>
      </c>
      <c r="G13" s="155">
        <f>D14</f>
        <v>616.04011170000001</v>
      </c>
      <c r="H13" s="348"/>
      <c r="I13" s="340" t="s">
        <v>8</v>
      </c>
      <c r="J13" s="341">
        <f t="shared" si="3"/>
        <v>616.04011170000001</v>
      </c>
      <c r="K13" s="130"/>
      <c r="L13" s="67"/>
      <c r="M13" s="67"/>
      <c r="N13" s="67"/>
      <c r="O13" s="67"/>
      <c r="P13" s="67"/>
      <c r="Q13" s="67"/>
      <c r="R13" s="67"/>
      <c r="S13" s="67"/>
      <c r="T13" s="67"/>
    </row>
    <row r="14" spans="1:44" ht="22.5" customHeight="1" x14ac:dyDescent="0.25">
      <c r="A14" s="125"/>
      <c r="B14" s="67"/>
      <c r="C14" s="154">
        <v>6</v>
      </c>
      <c r="D14" s="155">
        <v>616.04011170000001</v>
      </c>
      <c r="E14" s="316"/>
      <c r="F14" s="156">
        <v>10</v>
      </c>
      <c r="G14" s="157">
        <f>D18</f>
        <v>620.50495890000002</v>
      </c>
      <c r="H14" s="349"/>
      <c r="I14" s="342" t="s">
        <v>9</v>
      </c>
      <c r="J14" s="343">
        <f t="shared" si="3"/>
        <v>620.50495890000002</v>
      </c>
      <c r="K14" s="131"/>
      <c r="L14" s="420" t="str">
        <f>CONCATENATE("A mediana do peso é  (", ROUND(J14, 0),"+",ROUND(J15,0),")/2=",ROUND(VALUE(J15+J14)/2,0),"mg.")</f>
        <v>A mediana do peso é  (621+670)/2=645mg.</v>
      </c>
      <c r="M14" s="420"/>
      <c r="N14" s="420"/>
      <c r="O14" s="420"/>
      <c r="P14" s="420"/>
      <c r="Q14" s="420"/>
      <c r="R14" s="420"/>
      <c r="S14" s="420"/>
    </row>
    <row r="15" spans="1:44" ht="22.5" customHeight="1" x14ac:dyDescent="0.25">
      <c r="A15" s="125"/>
      <c r="B15" s="67"/>
      <c r="C15" s="164">
        <v>7</v>
      </c>
      <c r="D15" s="165">
        <v>707.85182079999993</v>
      </c>
      <c r="E15" s="316"/>
      <c r="F15" s="158">
        <v>1</v>
      </c>
      <c r="G15" s="159">
        <f>D9</f>
        <v>669.67330049999998</v>
      </c>
      <c r="H15" s="349"/>
      <c r="I15" s="342" t="s">
        <v>10</v>
      </c>
      <c r="J15" s="343">
        <f t="shared" si="3"/>
        <v>669.67330049999998</v>
      </c>
      <c r="K15" s="129"/>
      <c r="L15" s="420"/>
      <c r="M15" s="420"/>
      <c r="N15" s="420"/>
      <c r="O15" s="420"/>
      <c r="P15" s="420"/>
      <c r="Q15" s="420"/>
      <c r="R15" s="420"/>
      <c r="S15" s="420"/>
      <c r="T15" s="67"/>
    </row>
    <row r="16" spans="1:44" ht="18.75" x14ac:dyDescent="0.25">
      <c r="A16" s="125"/>
      <c r="B16" s="67"/>
      <c r="C16" s="146">
        <v>8</v>
      </c>
      <c r="D16" s="147">
        <v>465.72133409999998</v>
      </c>
      <c r="E16" s="316"/>
      <c r="F16" s="160">
        <v>2</v>
      </c>
      <c r="G16" s="161">
        <f>D10</f>
        <v>672.73418879999997</v>
      </c>
      <c r="H16" s="348"/>
      <c r="I16" s="344" t="s">
        <v>11</v>
      </c>
      <c r="J16" s="345">
        <f t="shared" si="3"/>
        <v>672.73418879999997</v>
      </c>
      <c r="K16" s="129"/>
      <c r="M16" s="134"/>
      <c r="N16" s="134"/>
      <c r="O16" s="134"/>
      <c r="P16" s="134"/>
      <c r="Q16" s="134"/>
      <c r="R16" s="134"/>
      <c r="S16" s="134"/>
      <c r="T16" s="134"/>
    </row>
    <row r="17" spans="1:21" ht="18.75" customHeight="1" x14ac:dyDescent="0.25">
      <c r="A17" s="125"/>
      <c r="B17" s="67"/>
      <c r="C17" s="148">
        <v>9</v>
      </c>
      <c r="D17" s="149">
        <v>562.35650139999996</v>
      </c>
      <c r="E17" s="316"/>
      <c r="F17" s="162">
        <v>5</v>
      </c>
      <c r="G17" s="163">
        <f>D13</f>
        <v>677.59154959999989</v>
      </c>
      <c r="H17" s="348"/>
      <c r="I17" s="344" t="s">
        <v>12</v>
      </c>
      <c r="J17" s="345">
        <f t="shared" si="3"/>
        <v>677.59154959999989</v>
      </c>
      <c r="K17" s="129"/>
      <c r="L17" s="422" t="str">
        <f>CONCATENATE( " Interpretação: 50% das cápsulas estão  acima de ",ROUND((VALUE(J13)+VALUE(J14))/2,0),"mg.")</f>
        <v xml:space="preserve"> Interpretação: 50% das cápsulas estão  acima de 618mg.</v>
      </c>
      <c r="M17" s="422"/>
      <c r="N17" s="422"/>
      <c r="O17" s="422"/>
      <c r="P17" s="422"/>
      <c r="Q17" s="422"/>
      <c r="R17" s="422"/>
      <c r="S17" s="422"/>
      <c r="T17" s="134"/>
    </row>
    <row r="18" spans="1:21" ht="18.75" customHeight="1" x14ac:dyDescent="0.25">
      <c r="A18" s="125"/>
      <c r="B18" s="67"/>
      <c r="C18" s="156">
        <v>10</v>
      </c>
      <c r="D18" s="157">
        <v>620.50495890000002</v>
      </c>
      <c r="E18" s="316"/>
      <c r="F18" s="164">
        <v>7</v>
      </c>
      <c r="G18" s="165">
        <f>D15</f>
        <v>707.85182079999993</v>
      </c>
      <c r="H18" s="348"/>
      <c r="I18" s="344" t="s">
        <v>13</v>
      </c>
      <c r="J18" s="345">
        <f t="shared" si="3"/>
        <v>707.85182079999993</v>
      </c>
      <c r="K18" s="129"/>
      <c r="L18" s="422"/>
      <c r="M18" s="422"/>
      <c r="N18" s="422"/>
      <c r="O18" s="422"/>
      <c r="P18" s="422"/>
      <c r="Q18" s="422"/>
      <c r="R18" s="422"/>
      <c r="S18" s="422"/>
      <c r="T18" s="67"/>
    </row>
    <row r="19" spans="1:21" ht="18.75" x14ac:dyDescent="0.25">
      <c r="A19" s="125"/>
      <c r="B19" s="67"/>
      <c r="C19" s="166">
        <v>11</v>
      </c>
      <c r="D19" s="167">
        <v>805.56915370000002</v>
      </c>
      <c r="E19" s="316"/>
      <c r="F19" s="166">
        <v>11</v>
      </c>
      <c r="G19" s="167">
        <f>D19</f>
        <v>805.56915370000002</v>
      </c>
      <c r="H19" s="348"/>
      <c r="I19" s="344" t="s">
        <v>14</v>
      </c>
      <c r="J19" s="345">
        <f t="shared" si="3"/>
        <v>805.56915370000002</v>
      </c>
      <c r="K19" s="129"/>
      <c r="L19" s="416"/>
      <c r="M19" s="416"/>
      <c r="N19" s="416"/>
      <c r="O19" s="416"/>
      <c r="P19" s="416"/>
      <c r="Q19" s="416"/>
      <c r="R19" s="416"/>
      <c r="S19" s="416"/>
      <c r="T19" s="416"/>
    </row>
    <row r="20" spans="1:21" ht="15" customHeight="1" thickBot="1" x14ac:dyDescent="0.3">
      <c r="A20" s="125"/>
      <c r="B20" s="67"/>
      <c r="C20" s="168">
        <v>12</v>
      </c>
      <c r="D20" s="169">
        <v>864.98602700000004</v>
      </c>
      <c r="E20" s="316"/>
      <c r="F20" s="168">
        <v>12</v>
      </c>
      <c r="G20" s="169">
        <f>D20</f>
        <v>864.98602700000004</v>
      </c>
      <c r="H20" s="348"/>
      <c r="I20" s="344" t="s">
        <v>15</v>
      </c>
      <c r="J20" s="345">
        <f t="shared" si="3"/>
        <v>864.98602700000004</v>
      </c>
      <c r="K20" s="129"/>
      <c r="L20" s="416"/>
      <c r="M20" s="416"/>
      <c r="N20" s="416"/>
      <c r="O20" s="416"/>
      <c r="P20" s="416"/>
      <c r="Q20" s="416"/>
      <c r="R20" s="416"/>
      <c r="S20" s="416"/>
      <c r="T20" s="416"/>
    </row>
    <row r="21" spans="1:21" ht="25.5" customHeight="1" thickBot="1" x14ac:dyDescent="0.3">
      <c r="A21" s="125"/>
      <c r="B21" s="67"/>
      <c r="C21" s="154" t="s">
        <v>2</v>
      </c>
      <c r="D21" s="317">
        <v>7869.1797967999992</v>
      </c>
      <c r="E21" s="316"/>
      <c r="F21" s="170" t="s">
        <v>2</v>
      </c>
      <c r="G21" s="171">
        <f>D21</f>
        <v>7869.1797967999992</v>
      </c>
      <c r="H21" s="126"/>
      <c r="I21" s="351" t="s">
        <v>47</v>
      </c>
      <c r="J21" s="352" t="s">
        <v>183</v>
      </c>
      <c r="K21" s="352"/>
      <c r="L21" s="67"/>
      <c r="M21" s="67"/>
      <c r="N21" s="67"/>
      <c r="O21" s="67"/>
      <c r="P21" s="67"/>
      <c r="Q21" s="67"/>
      <c r="R21" s="67"/>
      <c r="S21" s="67"/>
      <c r="T21" s="67"/>
    </row>
    <row r="22" spans="1:21" x14ac:dyDescent="0.25">
      <c r="A22" s="125"/>
      <c r="B22" s="67"/>
      <c r="C22" s="119"/>
      <c r="D22" s="57"/>
      <c r="E22" s="57"/>
      <c r="F22" s="57"/>
      <c r="G22" s="57"/>
      <c r="H22" s="57"/>
      <c r="I22" s="350"/>
      <c r="J22" s="350"/>
      <c r="K22" s="350"/>
      <c r="L22" s="67"/>
      <c r="M22" s="67"/>
      <c r="N22" s="67"/>
      <c r="O22" s="67"/>
      <c r="P22" s="67"/>
      <c r="Q22" s="132"/>
      <c r="R22" s="67"/>
      <c r="T22" s="67"/>
    </row>
    <row r="23" spans="1:21" ht="3.75" customHeight="1" x14ac:dyDescent="0.25">
      <c r="I23" s="127"/>
      <c r="J23" s="127"/>
      <c r="K23" s="127"/>
      <c r="R23" s="28"/>
      <c r="S23" s="28"/>
      <c r="T23" s="28"/>
    </row>
    <row r="24" spans="1:21" ht="18.75" x14ac:dyDescent="0.3">
      <c r="C24" s="7"/>
      <c r="D24" s="337" t="str">
        <f t="array" ref="D24:T25">TRANSPOSE(I8:J21)</f>
        <v>Ordenação da amostra</v>
      </c>
      <c r="E24" s="318" t="str">
        <v>1 º</v>
      </c>
      <c r="F24" s="318" t="str">
        <v>2 º</v>
      </c>
      <c r="G24" s="318" t="str">
        <v>3 º</v>
      </c>
      <c r="H24" s="318" t="str">
        <v>4 º</v>
      </c>
      <c r="I24" s="318" t="str">
        <v>5 º</v>
      </c>
      <c r="J24" s="319" t="str">
        <v>6 º</v>
      </c>
      <c r="K24" s="320" t="str">
        <v>7 º</v>
      </c>
      <c r="L24" s="318" t="str">
        <v>8 º</v>
      </c>
      <c r="M24" s="318" t="str">
        <v>9 º</v>
      </c>
      <c r="N24" s="318" t="str">
        <v>10 º</v>
      </c>
      <c r="O24" s="318" t="str">
        <v>11 º</v>
      </c>
      <c r="P24" s="318" t="str">
        <v>12 º</v>
      </c>
      <c r="Q24" s="333" t="str">
        <v>Ordem</v>
      </c>
      <c r="R24" s="28" t="e">
        <v>#N/A</v>
      </c>
      <c r="S24" s="28" t="e">
        <v>#N/A</v>
      </c>
      <c r="T24" s="28" t="e">
        <v>#N/A</v>
      </c>
    </row>
    <row r="25" spans="1:21" ht="27" thickBot="1" x14ac:dyDescent="0.45">
      <c r="D25" s="336" t="str">
        <v xml:space="preserve">   Peso da amostra (mg)</v>
      </c>
      <c r="E25" s="321">
        <v>465.72133409999998</v>
      </c>
      <c r="F25" s="321">
        <v>562.35650139999996</v>
      </c>
      <c r="G25" s="321">
        <v>599.20559119999996</v>
      </c>
      <c r="H25" s="321">
        <v>606.94525909999993</v>
      </c>
      <c r="I25" s="321">
        <v>616.04011170000001</v>
      </c>
      <c r="J25" s="338">
        <v>620.50495890000002</v>
      </c>
      <c r="K25" s="339">
        <v>669.67330049999998</v>
      </c>
      <c r="L25" s="322">
        <v>672.73418879999997</v>
      </c>
      <c r="M25" s="322">
        <v>677.59154959999989</v>
      </c>
      <c r="N25" s="322">
        <v>707.85182079999993</v>
      </c>
      <c r="O25" s="322">
        <v>805.56915370000002</v>
      </c>
      <c r="P25" s="322">
        <v>864.98602700000004</v>
      </c>
      <c r="Q25" s="335" t="str">
        <v>mg</v>
      </c>
      <c r="R25" s="28" t="e">
        <v>#N/A</v>
      </c>
      <c r="S25" s="28" t="e">
        <v>#N/A</v>
      </c>
      <c r="T25" s="28" t="e">
        <v>#N/A</v>
      </c>
    </row>
    <row r="26" spans="1:21" ht="19.5" thickBot="1" x14ac:dyDescent="0.35">
      <c r="E26" s="323"/>
      <c r="F26" s="324"/>
      <c r="G26" s="325" t="s">
        <v>185</v>
      </c>
      <c r="H26" s="324"/>
      <c r="I26" s="324"/>
      <c r="J26" s="324"/>
      <c r="K26" s="326"/>
      <c r="L26" s="326"/>
      <c r="M26" s="327" t="s">
        <v>185</v>
      </c>
      <c r="N26" s="326"/>
      <c r="O26" s="326"/>
      <c r="P26" s="328"/>
      <c r="Q26" s="334"/>
      <c r="R26" s="28"/>
      <c r="S26" s="28"/>
    </row>
    <row r="27" spans="1:21" ht="18.75" x14ac:dyDescent="0.3">
      <c r="E27" s="329"/>
      <c r="F27" s="329"/>
      <c r="G27" s="329"/>
      <c r="H27" s="329"/>
      <c r="I27" s="329"/>
      <c r="J27" s="330">
        <f>J25</f>
        <v>620.50495890000002</v>
      </c>
      <c r="K27" s="331">
        <f>K25</f>
        <v>669.67330049999998</v>
      </c>
      <c r="L27" s="329"/>
      <c r="M27" s="329"/>
      <c r="N27" s="329"/>
      <c r="O27" s="329"/>
      <c r="P27" s="329"/>
      <c r="Q27" s="334"/>
      <c r="R27" s="69"/>
      <c r="S27" s="69"/>
    </row>
    <row r="28" spans="1:21" ht="23.25" x14ac:dyDescent="0.35">
      <c r="J28" s="415" t="s">
        <v>165</v>
      </c>
      <c r="K28" s="415"/>
    </row>
    <row r="29" spans="1:21" ht="4.5" customHeight="1" x14ac:dyDescent="0.25"/>
    <row r="30" spans="1:21" ht="4.5" customHeight="1" x14ac:dyDescent="0.25"/>
    <row r="31" spans="1:21" x14ac:dyDescent="0.25"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</row>
    <row r="32" spans="1:21" x14ac:dyDescent="0.25">
      <c r="A32" s="1"/>
      <c r="U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</sheetData>
  <mergeCells count="9">
    <mergeCell ref="J28:K28"/>
    <mergeCell ref="L19:T20"/>
    <mergeCell ref="C7:D7"/>
    <mergeCell ref="F7:G7"/>
    <mergeCell ref="L14:S15"/>
    <mergeCell ref="L11:S12"/>
    <mergeCell ref="L17:S18"/>
    <mergeCell ref="I7:L7"/>
    <mergeCell ref="J8:K8"/>
  </mergeCells>
  <pageMargins left="0.511811024" right="0.511811024" top="0.78740157499999996" bottom="0.78740157499999996" header="0.31496062000000002" footer="0.31496062000000002"/>
  <pageSetup paperSize="9" orientation="portrait" horizontalDpi="4294967294" r:id="rId1"/>
  <ignoredErrors>
    <ignoredError sqref="G12" formula="1"/>
    <ignoredError sqref="R24:R25 S24:S25 T24:T25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54"/>
  <sheetViews>
    <sheetView zoomScale="90" zoomScaleNormal="90" workbookViewId="0">
      <selection activeCell="H37" sqref="H37"/>
    </sheetView>
  </sheetViews>
  <sheetFormatPr defaultRowHeight="11.25" customHeight="1" x14ac:dyDescent="0.2"/>
  <cols>
    <col min="1" max="1" width="3.42578125" style="267" customWidth="1"/>
    <col min="2" max="2" width="5.140625" style="19" customWidth="1"/>
    <col min="3" max="3" width="18.5703125" style="19" customWidth="1"/>
    <col min="4" max="4" width="14.5703125" style="19" customWidth="1"/>
    <col min="5" max="5" width="2.42578125" style="19" customWidth="1"/>
    <col min="6" max="6" width="18.42578125" style="19" customWidth="1"/>
    <col min="7" max="7" width="10.42578125" style="19" customWidth="1"/>
    <col min="8" max="8" width="14" style="84" customWidth="1"/>
    <col min="9" max="9" width="5.28515625" style="209" customWidth="1"/>
    <col min="10" max="10" width="5.7109375" style="19" customWidth="1"/>
    <col min="11" max="12" width="5.42578125" style="19" customWidth="1"/>
    <col min="13" max="13" width="23.85546875" style="19" customWidth="1"/>
    <col min="14" max="17" width="5.42578125" style="19" hidden="1" customWidth="1"/>
    <col min="18" max="18" width="30.7109375" style="19" customWidth="1"/>
    <col min="19" max="19" width="6.28515625" style="19" customWidth="1"/>
    <col min="20" max="20" width="2" style="19" customWidth="1"/>
    <col min="21" max="16384" width="9.140625" style="19"/>
  </cols>
  <sheetData>
    <row r="1" spans="3:20" s="267" customFormat="1" ht="11.25" customHeight="1" x14ac:dyDescent="0.2">
      <c r="H1" s="268"/>
      <c r="I1" s="269"/>
    </row>
    <row r="2" spans="3:20" ht="11.25" customHeight="1" x14ac:dyDescent="0.2">
      <c r="T2" s="267"/>
    </row>
    <row r="3" spans="3:20" ht="16.5" customHeight="1" x14ac:dyDescent="0.3">
      <c r="C3" s="264" t="s">
        <v>103</v>
      </c>
      <c r="D3" s="265"/>
      <c r="E3" s="265"/>
      <c r="F3" s="265"/>
      <c r="G3" s="265"/>
      <c r="H3" s="266"/>
      <c r="T3" s="267"/>
    </row>
    <row r="4" spans="3:20" ht="36" customHeight="1" x14ac:dyDescent="0.2">
      <c r="C4" s="426" t="s">
        <v>86</v>
      </c>
      <c r="D4" s="427"/>
      <c r="E4" s="22"/>
      <c r="F4" s="428" t="s">
        <v>87</v>
      </c>
      <c r="G4" s="429"/>
      <c r="H4" s="430"/>
      <c r="T4" s="267"/>
    </row>
    <row r="5" spans="3:20" ht="15" customHeight="1" x14ac:dyDescent="0.2">
      <c r="C5" s="215" t="s">
        <v>17</v>
      </c>
      <c r="D5" s="255" t="s">
        <v>46</v>
      </c>
      <c r="E5" s="25"/>
      <c r="F5" s="208" t="s">
        <v>75</v>
      </c>
      <c r="G5" s="208" t="s">
        <v>47</v>
      </c>
      <c r="H5" s="256" t="s">
        <v>46</v>
      </c>
      <c r="T5" s="267"/>
    </row>
    <row r="6" spans="3:20" ht="11.25" customHeight="1" x14ac:dyDescent="0.2">
      <c r="C6" s="216" t="s">
        <v>23</v>
      </c>
      <c r="D6" s="257">
        <v>33</v>
      </c>
      <c r="E6" s="22"/>
      <c r="F6" s="214" t="s">
        <v>23</v>
      </c>
      <c r="G6" s="258" t="s">
        <v>48</v>
      </c>
      <c r="H6" s="257">
        <v>33</v>
      </c>
      <c r="I6" s="259">
        <v>1</v>
      </c>
      <c r="T6" s="267"/>
    </row>
    <row r="7" spans="3:20" ht="11.25" customHeight="1" x14ac:dyDescent="0.2">
      <c r="C7" s="216" t="s">
        <v>19</v>
      </c>
      <c r="D7" s="257">
        <v>62</v>
      </c>
      <c r="E7" s="22"/>
      <c r="F7" s="214" t="s">
        <v>19</v>
      </c>
      <c r="G7" s="258" t="s">
        <v>49</v>
      </c>
      <c r="H7" s="257">
        <v>62</v>
      </c>
      <c r="I7" s="259">
        <v>2</v>
      </c>
      <c r="T7" s="267"/>
    </row>
    <row r="8" spans="3:20" ht="11.25" customHeight="1" x14ac:dyDescent="0.2">
      <c r="C8" s="216" t="s">
        <v>21</v>
      </c>
      <c r="D8" s="257">
        <v>85</v>
      </c>
      <c r="E8" s="22"/>
      <c r="F8" s="214" t="s">
        <v>21</v>
      </c>
      <c r="G8" s="258" t="s">
        <v>50</v>
      </c>
      <c r="H8" s="257">
        <v>85</v>
      </c>
      <c r="I8" s="259">
        <v>3</v>
      </c>
      <c r="T8" s="267"/>
    </row>
    <row r="9" spans="3:20" ht="11.25" customHeight="1" x14ac:dyDescent="0.25">
      <c r="C9" s="216" t="s">
        <v>32</v>
      </c>
      <c r="D9" s="257">
        <v>449</v>
      </c>
      <c r="E9" s="22"/>
      <c r="F9" s="214" t="s">
        <v>32</v>
      </c>
      <c r="G9" s="258" t="s">
        <v>51</v>
      </c>
      <c r="H9" s="257">
        <v>449</v>
      </c>
      <c r="I9" s="259">
        <v>4</v>
      </c>
      <c r="M9" s="174"/>
      <c r="T9" s="267"/>
    </row>
    <row r="10" spans="3:20" ht="11.25" customHeight="1" x14ac:dyDescent="0.2">
      <c r="C10" s="216" t="s">
        <v>18</v>
      </c>
      <c r="D10" s="257">
        <v>564</v>
      </c>
      <c r="E10" s="22"/>
      <c r="F10" s="214" t="s">
        <v>18</v>
      </c>
      <c r="G10" s="258" t="s">
        <v>52</v>
      </c>
      <c r="H10" s="257">
        <v>564</v>
      </c>
      <c r="I10" s="259">
        <v>5</v>
      </c>
      <c r="T10" s="267"/>
    </row>
    <row r="11" spans="3:20" ht="11.25" customHeight="1" x14ac:dyDescent="0.2">
      <c r="C11" s="216" t="s">
        <v>24</v>
      </c>
      <c r="D11" s="257">
        <v>765</v>
      </c>
      <c r="E11" s="22"/>
      <c r="F11" s="214" t="s">
        <v>24</v>
      </c>
      <c r="G11" s="258" t="s">
        <v>53</v>
      </c>
      <c r="H11" s="257">
        <v>765</v>
      </c>
      <c r="I11" s="259">
        <v>6</v>
      </c>
      <c r="T11" s="267"/>
    </row>
    <row r="12" spans="3:20" ht="11.25" customHeight="1" x14ac:dyDescent="0.25">
      <c r="C12" s="216" t="s">
        <v>26</v>
      </c>
      <c r="D12" s="257">
        <v>877</v>
      </c>
      <c r="E12" s="22"/>
      <c r="F12" s="214" t="s">
        <v>26</v>
      </c>
      <c r="G12" s="258" t="s">
        <v>54</v>
      </c>
      <c r="H12" s="257">
        <v>877</v>
      </c>
      <c r="I12" s="259">
        <v>7</v>
      </c>
      <c r="J12" s="10" t="s">
        <v>102</v>
      </c>
      <c r="T12" s="267"/>
    </row>
    <row r="13" spans="3:20" ht="11.25" customHeight="1" thickBot="1" x14ac:dyDescent="0.25">
      <c r="C13" s="216" t="s">
        <v>42</v>
      </c>
      <c r="D13" s="257">
        <v>934</v>
      </c>
      <c r="E13" s="22"/>
      <c r="F13" s="214" t="s">
        <v>42</v>
      </c>
      <c r="G13" s="258" t="s">
        <v>55</v>
      </c>
      <c r="H13" s="257">
        <v>934</v>
      </c>
      <c r="I13" s="259">
        <v>8</v>
      </c>
      <c r="T13" s="267"/>
    </row>
    <row r="14" spans="3:20" ht="11.25" customHeight="1" x14ac:dyDescent="0.2">
      <c r="C14" s="216" t="s">
        <v>31</v>
      </c>
      <c r="D14" s="257">
        <v>942</v>
      </c>
      <c r="E14" s="22"/>
      <c r="F14" s="214" t="s">
        <v>31</v>
      </c>
      <c r="G14" s="258" t="s">
        <v>56</v>
      </c>
      <c r="H14" s="257">
        <v>942</v>
      </c>
      <c r="I14" s="259">
        <v>9</v>
      </c>
      <c r="J14" s="431" t="s">
        <v>101</v>
      </c>
      <c r="K14" s="432"/>
      <c r="L14" s="432"/>
      <c r="M14" s="432"/>
      <c r="N14" s="432"/>
      <c r="O14" s="432"/>
      <c r="P14" s="432"/>
      <c r="Q14" s="432"/>
      <c r="R14" s="433"/>
      <c r="T14" s="267"/>
    </row>
    <row r="15" spans="3:20" ht="11.25" customHeight="1" x14ac:dyDescent="0.2">
      <c r="C15" s="216" t="s">
        <v>22</v>
      </c>
      <c r="D15" s="257">
        <v>1016</v>
      </c>
      <c r="E15" s="22"/>
      <c r="F15" s="214" t="s">
        <v>22</v>
      </c>
      <c r="G15" s="258" t="s">
        <v>57</v>
      </c>
      <c r="H15" s="257">
        <v>1016</v>
      </c>
      <c r="I15" s="259">
        <v>10</v>
      </c>
      <c r="J15" s="434"/>
      <c r="K15" s="435"/>
      <c r="L15" s="435"/>
      <c r="M15" s="435"/>
      <c r="N15" s="435"/>
      <c r="O15" s="435"/>
      <c r="P15" s="435"/>
      <c r="Q15" s="435"/>
      <c r="R15" s="436"/>
      <c r="T15" s="267"/>
    </row>
    <row r="16" spans="3:20" ht="11.25" customHeight="1" thickBot="1" x14ac:dyDescent="0.25">
      <c r="C16" s="216" t="s">
        <v>28</v>
      </c>
      <c r="D16" s="257">
        <v>1195</v>
      </c>
      <c r="E16" s="22"/>
      <c r="F16" s="214" t="s">
        <v>28</v>
      </c>
      <c r="G16" s="258" t="s">
        <v>58</v>
      </c>
      <c r="H16" s="257">
        <v>1195</v>
      </c>
      <c r="I16" s="259">
        <v>11</v>
      </c>
      <c r="J16" s="437"/>
      <c r="K16" s="438"/>
      <c r="L16" s="438"/>
      <c r="M16" s="438"/>
      <c r="N16" s="438"/>
      <c r="O16" s="438"/>
      <c r="P16" s="438"/>
      <c r="Q16" s="438"/>
      <c r="R16" s="439"/>
      <c r="T16" s="267"/>
    </row>
    <row r="17" spans="3:20" ht="11.25" customHeight="1" x14ac:dyDescent="0.2">
      <c r="C17" s="216" t="s">
        <v>20</v>
      </c>
      <c r="D17" s="257">
        <v>1586</v>
      </c>
      <c r="E17" s="22"/>
      <c r="F17" s="214" t="s">
        <v>20</v>
      </c>
      <c r="G17" s="258" t="s">
        <v>59</v>
      </c>
      <c r="H17" s="257">
        <v>1586</v>
      </c>
      <c r="I17" s="259">
        <v>12</v>
      </c>
      <c r="T17" s="267"/>
    </row>
    <row r="18" spans="3:20" ht="15.75" customHeight="1" thickBot="1" x14ac:dyDescent="0.25">
      <c r="C18" s="216" t="s">
        <v>29</v>
      </c>
      <c r="D18" s="257">
        <v>1600</v>
      </c>
      <c r="E18" s="22"/>
      <c r="F18" s="214" t="s">
        <v>29</v>
      </c>
      <c r="G18" s="258" t="s">
        <v>60</v>
      </c>
      <c r="H18" s="257">
        <v>1600</v>
      </c>
      <c r="I18" s="259">
        <v>13</v>
      </c>
      <c r="J18" s="460" t="s">
        <v>80</v>
      </c>
      <c r="K18" s="460"/>
      <c r="L18" s="460"/>
      <c r="M18" s="460"/>
      <c r="N18" s="460"/>
      <c r="O18" s="460"/>
      <c r="P18" s="460"/>
      <c r="Q18" s="460"/>
      <c r="R18" s="460"/>
      <c r="T18" s="267"/>
    </row>
    <row r="19" spans="3:20" ht="15" customHeight="1" thickBot="1" x14ac:dyDescent="0.3">
      <c r="C19" s="216" t="s">
        <v>41</v>
      </c>
      <c r="D19" s="257">
        <v>1678</v>
      </c>
      <c r="E19" s="22"/>
      <c r="F19" s="260" t="s">
        <v>41</v>
      </c>
      <c r="G19" s="261" t="s">
        <v>61</v>
      </c>
      <c r="H19" s="262">
        <v>1678</v>
      </c>
      <c r="I19" s="263">
        <v>14</v>
      </c>
      <c r="J19" s="460"/>
      <c r="K19" s="460"/>
      <c r="L19" s="460"/>
      <c r="M19" s="460"/>
      <c r="N19" s="460"/>
      <c r="O19" s="460"/>
      <c r="P19" s="460"/>
      <c r="Q19" s="460"/>
      <c r="R19" s="460"/>
      <c r="T19" s="267"/>
    </row>
    <row r="20" spans="3:20" ht="11.25" customHeight="1" x14ac:dyDescent="0.2">
      <c r="C20" s="216" t="s">
        <v>27</v>
      </c>
      <c r="D20" s="257">
        <v>1748</v>
      </c>
      <c r="E20" s="22"/>
      <c r="F20" s="214" t="s">
        <v>27</v>
      </c>
      <c r="G20" s="258" t="s">
        <v>62</v>
      </c>
      <c r="H20" s="257">
        <v>1748</v>
      </c>
      <c r="I20" s="259">
        <v>1</v>
      </c>
      <c r="J20" s="458" t="s">
        <v>78</v>
      </c>
      <c r="K20" s="458"/>
      <c r="L20" s="458"/>
      <c r="M20" s="458"/>
      <c r="T20" s="267"/>
    </row>
    <row r="21" spans="3:20" ht="11.25" customHeight="1" thickBot="1" x14ac:dyDescent="0.25">
      <c r="C21" s="216" t="s">
        <v>25</v>
      </c>
      <c r="D21" s="257">
        <v>1918</v>
      </c>
      <c r="E21" s="22"/>
      <c r="F21" s="214" t="s">
        <v>25</v>
      </c>
      <c r="G21" s="258" t="s">
        <v>63</v>
      </c>
      <c r="H21" s="257">
        <v>1918</v>
      </c>
      <c r="I21" s="259">
        <v>2</v>
      </c>
      <c r="J21" s="459"/>
      <c r="K21" s="459"/>
      <c r="L21" s="459"/>
      <c r="M21" s="459"/>
      <c r="T21" s="267"/>
    </row>
    <row r="22" spans="3:20" ht="14.25" customHeight="1" x14ac:dyDescent="0.2">
      <c r="C22" s="216" t="s">
        <v>44</v>
      </c>
      <c r="D22" s="257">
        <v>2202</v>
      </c>
      <c r="E22" s="22"/>
      <c r="F22" s="214" t="s">
        <v>44</v>
      </c>
      <c r="G22" s="258" t="s">
        <v>64</v>
      </c>
      <c r="H22" s="257">
        <v>2202</v>
      </c>
      <c r="I22" s="259">
        <v>3</v>
      </c>
      <c r="J22" s="440" t="s">
        <v>81</v>
      </c>
      <c r="K22" s="441"/>
      <c r="L22" s="441"/>
      <c r="M22" s="441"/>
      <c r="N22" s="441"/>
      <c r="O22" s="441"/>
      <c r="P22" s="441"/>
      <c r="Q22" s="441"/>
      <c r="R22" s="442"/>
      <c r="T22" s="267"/>
    </row>
    <row r="23" spans="3:20" ht="14.25" customHeight="1" x14ac:dyDescent="0.2">
      <c r="C23" s="216" t="s">
        <v>35</v>
      </c>
      <c r="D23" s="257">
        <v>2217</v>
      </c>
      <c r="E23" s="22"/>
      <c r="F23" s="214" t="s">
        <v>35</v>
      </c>
      <c r="G23" s="258" t="s">
        <v>65</v>
      </c>
      <c r="H23" s="257">
        <v>2217</v>
      </c>
      <c r="I23" s="259">
        <v>4</v>
      </c>
      <c r="J23" s="443"/>
      <c r="K23" s="444"/>
      <c r="L23" s="444"/>
      <c r="M23" s="444"/>
      <c r="N23" s="444"/>
      <c r="O23" s="444"/>
      <c r="P23" s="444"/>
      <c r="Q23" s="444"/>
      <c r="R23" s="445"/>
      <c r="T23" s="267"/>
    </row>
    <row r="24" spans="3:20" ht="14.25" customHeight="1" thickBot="1" x14ac:dyDescent="0.25">
      <c r="C24" s="216" t="s">
        <v>30</v>
      </c>
      <c r="D24" s="257">
        <v>2356</v>
      </c>
      <c r="E24" s="22"/>
      <c r="F24" s="214" t="s">
        <v>30</v>
      </c>
      <c r="G24" s="258" t="s">
        <v>66</v>
      </c>
      <c r="H24" s="257">
        <v>2356</v>
      </c>
      <c r="I24" s="259">
        <v>5</v>
      </c>
      <c r="J24" s="446"/>
      <c r="K24" s="447"/>
      <c r="L24" s="447"/>
      <c r="M24" s="447"/>
      <c r="N24" s="447"/>
      <c r="O24" s="447"/>
      <c r="P24" s="447"/>
      <c r="Q24" s="447"/>
      <c r="R24" s="448"/>
      <c r="T24" s="267"/>
    </row>
    <row r="25" spans="3:20" ht="11.25" customHeight="1" x14ac:dyDescent="0.2">
      <c r="C25" s="216" t="s">
        <v>43</v>
      </c>
      <c r="D25" s="257">
        <v>2612</v>
      </c>
      <c r="E25" s="22"/>
      <c r="F25" s="214" t="s">
        <v>43</v>
      </c>
      <c r="G25" s="258" t="s">
        <v>67</v>
      </c>
      <c r="H25" s="257">
        <v>2612</v>
      </c>
      <c r="I25" s="259">
        <v>6</v>
      </c>
      <c r="T25" s="267"/>
    </row>
    <row r="26" spans="3:20" ht="12" customHeight="1" thickBot="1" x14ac:dyDescent="0.25">
      <c r="C26" s="216" t="s">
        <v>39</v>
      </c>
      <c r="D26" s="257">
        <v>2725</v>
      </c>
      <c r="E26" s="22"/>
      <c r="F26" s="214" t="s">
        <v>39</v>
      </c>
      <c r="G26" s="258" t="s">
        <v>68</v>
      </c>
      <c r="H26" s="257">
        <v>2725</v>
      </c>
      <c r="I26" s="259">
        <v>7</v>
      </c>
      <c r="T26" s="267"/>
    </row>
    <row r="27" spans="3:20" ht="11.25" customHeight="1" x14ac:dyDescent="0.2">
      <c r="C27" s="216" t="s">
        <v>33</v>
      </c>
      <c r="D27" s="257">
        <v>4805</v>
      </c>
      <c r="E27" s="22"/>
      <c r="F27" s="214" t="s">
        <v>33</v>
      </c>
      <c r="G27" s="258" t="s">
        <v>69</v>
      </c>
      <c r="H27" s="257">
        <v>4805</v>
      </c>
      <c r="I27" s="259">
        <v>8</v>
      </c>
      <c r="J27" s="449" t="s">
        <v>174</v>
      </c>
      <c r="K27" s="450"/>
      <c r="L27" s="450"/>
      <c r="M27" s="450"/>
      <c r="N27" s="450"/>
      <c r="O27" s="450"/>
      <c r="P27" s="450"/>
      <c r="Q27" s="450"/>
      <c r="R27" s="451"/>
      <c r="T27" s="267"/>
    </row>
    <row r="28" spans="3:20" ht="11.25" customHeight="1" x14ac:dyDescent="0.2">
      <c r="C28" s="216" t="s">
        <v>40</v>
      </c>
      <c r="D28" s="257">
        <v>5058</v>
      </c>
      <c r="E28" s="22"/>
      <c r="F28" s="214" t="s">
        <v>40</v>
      </c>
      <c r="G28" s="258" t="s">
        <v>70</v>
      </c>
      <c r="H28" s="257">
        <v>5058</v>
      </c>
      <c r="I28" s="259">
        <v>9</v>
      </c>
      <c r="J28" s="452"/>
      <c r="K28" s="453"/>
      <c r="L28" s="453"/>
      <c r="M28" s="453"/>
      <c r="N28" s="453"/>
      <c r="O28" s="453"/>
      <c r="P28" s="453"/>
      <c r="Q28" s="453"/>
      <c r="R28" s="454"/>
      <c r="T28" s="267"/>
    </row>
    <row r="29" spans="3:20" ht="11.25" customHeight="1" thickBot="1" x14ac:dyDescent="0.25">
      <c r="C29" s="216" t="s">
        <v>38</v>
      </c>
      <c r="D29" s="257">
        <v>6872</v>
      </c>
      <c r="E29" s="22"/>
      <c r="F29" s="214" t="s">
        <v>38</v>
      </c>
      <c r="G29" s="258" t="s">
        <v>71</v>
      </c>
      <c r="H29" s="257">
        <v>6872</v>
      </c>
      <c r="I29" s="259">
        <v>10</v>
      </c>
      <c r="J29" s="455"/>
      <c r="K29" s="456"/>
      <c r="L29" s="456"/>
      <c r="M29" s="456"/>
      <c r="N29" s="456"/>
      <c r="O29" s="456"/>
      <c r="P29" s="456"/>
      <c r="Q29" s="456"/>
      <c r="R29" s="457"/>
      <c r="T29" s="267"/>
    </row>
    <row r="30" spans="3:20" ht="11.25" customHeight="1" x14ac:dyDescent="0.2">
      <c r="C30" s="216" t="s">
        <v>36</v>
      </c>
      <c r="D30" s="257">
        <v>10508</v>
      </c>
      <c r="E30" s="22"/>
      <c r="F30" s="214" t="s">
        <v>36</v>
      </c>
      <c r="G30" s="258" t="s">
        <v>72</v>
      </c>
      <c r="H30" s="257">
        <v>10508</v>
      </c>
      <c r="I30" s="259">
        <v>11</v>
      </c>
      <c r="T30" s="267"/>
    </row>
    <row r="31" spans="3:20" ht="11.25" customHeight="1" x14ac:dyDescent="0.2">
      <c r="C31" s="216" t="s">
        <v>34</v>
      </c>
      <c r="D31" s="257">
        <v>13203</v>
      </c>
      <c r="E31" s="22"/>
      <c r="F31" s="214" t="s">
        <v>34</v>
      </c>
      <c r="G31" s="258" t="s">
        <v>73</v>
      </c>
      <c r="H31" s="257">
        <v>13203</v>
      </c>
      <c r="I31" s="259">
        <v>12</v>
      </c>
      <c r="T31" s="267"/>
    </row>
    <row r="32" spans="3:20" ht="11.25" customHeight="1" x14ac:dyDescent="0.2">
      <c r="C32" s="216" t="s">
        <v>37</v>
      </c>
      <c r="D32" s="257">
        <v>27395</v>
      </c>
      <c r="E32" s="22"/>
      <c r="F32" s="214" t="s">
        <v>37</v>
      </c>
      <c r="G32" s="258" t="s">
        <v>74</v>
      </c>
      <c r="H32" s="257">
        <v>27395</v>
      </c>
      <c r="I32" s="259">
        <v>13</v>
      </c>
      <c r="T32" s="267"/>
    </row>
    <row r="33" spans="1:20" ht="11.25" customHeight="1" x14ac:dyDescent="0.2">
      <c r="C33" s="216" t="s">
        <v>2</v>
      </c>
      <c r="D33" s="257">
        <v>95405</v>
      </c>
      <c r="E33" s="22"/>
      <c r="F33" s="214" t="s">
        <v>2</v>
      </c>
      <c r="G33" s="214"/>
      <c r="H33" s="257">
        <v>95405</v>
      </c>
      <c r="T33" s="267"/>
    </row>
    <row r="34" spans="1:20" ht="11.25" customHeight="1" x14ac:dyDescent="0.2">
      <c r="C34" s="19" t="s">
        <v>45</v>
      </c>
      <c r="T34" s="267"/>
    </row>
    <row r="35" spans="1:20" ht="11.25" customHeight="1" x14ac:dyDescent="0.25">
      <c r="C35" s="29" t="s">
        <v>16</v>
      </c>
      <c r="T35" s="267"/>
    </row>
    <row r="36" spans="1:20" ht="11.25" customHeight="1" x14ac:dyDescent="0.2">
      <c r="T36" s="267"/>
    </row>
    <row r="37" spans="1:20" ht="11.25" customHeight="1" x14ac:dyDescent="0.2">
      <c r="T37" s="267"/>
    </row>
    <row r="38" spans="1:20" ht="11.25" customHeight="1" x14ac:dyDescent="0.2">
      <c r="T38" s="267"/>
    </row>
    <row r="39" spans="1:20" ht="11.25" customHeight="1" x14ac:dyDescent="0.2">
      <c r="T39" s="267"/>
    </row>
    <row r="40" spans="1:20" ht="11.25" customHeight="1" x14ac:dyDescent="0.2"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</row>
    <row r="41" spans="1:20" ht="11.25" customHeight="1" x14ac:dyDescent="0.2">
      <c r="A41" s="19"/>
    </row>
    <row r="42" spans="1:20" ht="11.25" customHeight="1" x14ac:dyDescent="0.2">
      <c r="A42" s="19"/>
    </row>
    <row r="43" spans="1:20" ht="11.25" customHeight="1" x14ac:dyDescent="0.2">
      <c r="A43" s="19"/>
    </row>
    <row r="44" spans="1:20" ht="11.25" customHeight="1" x14ac:dyDescent="0.2">
      <c r="A44" s="19"/>
    </row>
    <row r="45" spans="1:20" ht="11.25" customHeight="1" x14ac:dyDescent="0.2">
      <c r="A45" s="19"/>
    </row>
    <row r="46" spans="1:20" ht="11.25" customHeight="1" x14ac:dyDescent="0.2">
      <c r="A46" s="19"/>
    </row>
    <row r="47" spans="1:20" ht="11.25" customHeight="1" x14ac:dyDescent="0.2">
      <c r="A47" s="19"/>
    </row>
    <row r="48" spans="1:20" ht="11.25" customHeight="1" x14ac:dyDescent="0.2">
      <c r="A48" s="19"/>
    </row>
    <row r="49" spans="1:1" ht="11.25" customHeight="1" x14ac:dyDescent="0.2">
      <c r="A49" s="19"/>
    </row>
    <row r="50" spans="1:1" ht="11.25" customHeight="1" x14ac:dyDescent="0.2">
      <c r="A50" s="19"/>
    </row>
    <row r="51" spans="1:1" ht="11.25" customHeight="1" x14ac:dyDescent="0.2">
      <c r="A51" s="19"/>
    </row>
    <row r="52" spans="1:1" ht="11.25" customHeight="1" x14ac:dyDescent="0.2">
      <c r="A52" s="19"/>
    </row>
    <row r="53" spans="1:1" ht="11.25" customHeight="1" x14ac:dyDescent="0.2">
      <c r="A53" s="19"/>
    </row>
    <row r="54" spans="1:1" ht="11.25" customHeight="1" x14ac:dyDescent="0.2">
      <c r="A54" s="19"/>
    </row>
    <row r="55" spans="1:1" ht="11.25" customHeight="1" x14ac:dyDescent="0.2">
      <c r="A55" s="19"/>
    </row>
    <row r="56" spans="1:1" ht="11.25" customHeight="1" x14ac:dyDescent="0.2">
      <c r="A56" s="19"/>
    </row>
    <row r="57" spans="1:1" ht="11.25" customHeight="1" x14ac:dyDescent="0.2">
      <c r="A57" s="19"/>
    </row>
    <row r="58" spans="1:1" ht="11.25" customHeight="1" x14ac:dyDescent="0.2">
      <c r="A58" s="19"/>
    </row>
    <row r="59" spans="1:1" ht="11.25" customHeight="1" x14ac:dyDescent="0.2">
      <c r="A59" s="19"/>
    </row>
    <row r="60" spans="1:1" ht="11.25" customHeight="1" x14ac:dyDescent="0.2">
      <c r="A60" s="19"/>
    </row>
    <row r="61" spans="1:1" ht="11.25" customHeight="1" x14ac:dyDescent="0.2">
      <c r="A61" s="19"/>
    </row>
    <row r="62" spans="1:1" ht="11.25" customHeight="1" x14ac:dyDescent="0.2">
      <c r="A62" s="19"/>
    </row>
    <row r="63" spans="1:1" ht="11.25" customHeight="1" x14ac:dyDescent="0.2">
      <c r="A63" s="19"/>
    </row>
    <row r="64" spans="1:1" ht="11.25" customHeight="1" x14ac:dyDescent="0.2">
      <c r="A64" s="19"/>
    </row>
    <row r="65" spans="1:1" ht="11.25" customHeight="1" x14ac:dyDescent="0.2">
      <c r="A65" s="19"/>
    </row>
    <row r="66" spans="1:1" ht="11.25" customHeight="1" x14ac:dyDescent="0.2">
      <c r="A66" s="19"/>
    </row>
    <row r="67" spans="1:1" ht="11.25" customHeight="1" x14ac:dyDescent="0.2">
      <c r="A67" s="19"/>
    </row>
    <row r="68" spans="1:1" ht="11.25" customHeight="1" x14ac:dyDescent="0.2">
      <c r="A68" s="19"/>
    </row>
    <row r="69" spans="1:1" ht="11.25" customHeight="1" x14ac:dyDescent="0.2">
      <c r="A69" s="19"/>
    </row>
    <row r="70" spans="1:1" ht="11.25" customHeight="1" x14ac:dyDescent="0.2">
      <c r="A70" s="19"/>
    </row>
    <row r="71" spans="1:1" ht="11.25" customHeight="1" x14ac:dyDescent="0.2">
      <c r="A71" s="19"/>
    </row>
    <row r="72" spans="1:1" ht="11.25" customHeight="1" x14ac:dyDescent="0.2">
      <c r="A72" s="19"/>
    </row>
    <row r="73" spans="1:1" ht="11.25" customHeight="1" x14ac:dyDescent="0.2">
      <c r="A73" s="19"/>
    </row>
    <row r="74" spans="1:1" ht="11.25" customHeight="1" x14ac:dyDescent="0.2">
      <c r="A74" s="19"/>
    </row>
    <row r="75" spans="1:1" ht="11.25" customHeight="1" x14ac:dyDescent="0.2">
      <c r="A75" s="19"/>
    </row>
    <row r="76" spans="1:1" ht="11.25" customHeight="1" x14ac:dyDescent="0.2">
      <c r="A76" s="19"/>
    </row>
    <row r="77" spans="1:1" ht="11.25" customHeight="1" x14ac:dyDescent="0.2">
      <c r="A77" s="19"/>
    </row>
    <row r="78" spans="1:1" ht="11.25" customHeight="1" x14ac:dyDescent="0.2">
      <c r="A78" s="19"/>
    </row>
    <row r="79" spans="1:1" ht="11.25" customHeight="1" x14ac:dyDescent="0.2">
      <c r="A79" s="19"/>
    </row>
    <row r="80" spans="1:1" ht="11.25" customHeight="1" x14ac:dyDescent="0.2">
      <c r="A80" s="19"/>
    </row>
    <row r="81" spans="1:1" ht="11.25" customHeight="1" x14ac:dyDescent="0.2">
      <c r="A81" s="19"/>
    </row>
    <row r="82" spans="1:1" ht="11.25" customHeight="1" x14ac:dyDescent="0.2">
      <c r="A82" s="19"/>
    </row>
    <row r="83" spans="1:1" ht="11.25" customHeight="1" x14ac:dyDescent="0.2">
      <c r="A83" s="19"/>
    </row>
    <row r="84" spans="1:1" ht="11.25" customHeight="1" x14ac:dyDescent="0.2">
      <c r="A84" s="19"/>
    </row>
    <row r="85" spans="1:1" ht="11.25" customHeight="1" x14ac:dyDescent="0.2">
      <c r="A85" s="19"/>
    </row>
    <row r="86" spans="1:1" ht="11.25" customHeight="1" x14ac:dyDescent="0.2">
      <c r="A86" s="19"/>
    </row>
    <row r="87" spans="1:1" ht="11.25" customHeight="1" x14ac:dyDescent="0.2">
      <c r="A87" s="19"/>
    </row>
    <row r="88" spans="1:1" ht="11.25" customHeight="1" x14ac:dyDescent="0.2">
      <c r="A88" s="19"/>
    </row>
    <row r="89" spans="1:1" ht="11.25" customHeight="1" x14ac:dyDescent="0.2">
      <c r="A89" s="19"/>
    </row>
    <row r="90" spans="1:1" ht="11.25" customHeight="1" x14ac:dyDescent="0.2">
      <c r="A90" s="19"/>
    </row>
    <row r="91" spans="1:1" ht="11.25" customHeight="1" x14ac:dyDescent="0.2">
      <c r="A91" s="19"/>
    </row>
    <row r="92" spans="1:1" ht="11.25" customHeight="1" x14ac:dyDescent="0.2">
      <c r="A92" s="19"/>
    </row>
    <row r="93" spans="1:1" ht="11.25" customHeight="1" x14ac:dyDescent="0.2">
      <c r="A93" s="19"/>
    </row>
    <row r="94" spans="1:1" ht="11.25" customHeight="1" x14ac:dyDescent="0.2">
      <c r="A94" s="19"/>
    </row>
    <row r="95" spans="1:1" ht="11.25" customHeight="1" x14ac:dyDescent="0.2">
      <c r="A95" s="19"/>
    </row>
    <row r="96" spans="1:1" ht="11.25" customHeight="1" x14ac:dyDescent="0.2">
      <c r="A96" s="19"/>
    </row>
    <row r="97" spans="1:1" ht="11.25" customHeight="1" x14ac:dyDescent="0.2">
      <c r="A97" s="19"/>
    </row>
    <row r="98" spans="1:1" ht="11.25" customHeight="1" x14ac:dyDescent="0.2">
      <c r="A98" s="19"/>
    </row>
    <row r="99" spans="1:1" ht="11.25" customHeight="1" x14ac:dyDescent="0.2">
      <c r="A99" s="19"/>
    </row>
    <row r="100" spans="1:1" ht="11.25" customHeight="1" x14ac:dyDescent="0.2">
      <c r="A100" s="19"/>
    </row>
    <row r="101" spans="1:1" ht="11.25" customHeight="1" x14ac:dyDescent="0.2">
      <c r="A101" s="19"/>
    </row>
    <row r="102" spans="1:1" ht="11.25" customHeight="1" x14ac:dyDescent="0.2">
      <c r="A102" s="19"/>
    </row>
    <row r="103" spans="1:1" ht="11.25" customHeight="1" x14ac:dyDescent="0.2">
      <c r="A103" s="19"/>
    </row>
    <row r="104" spans="1:1" ht="11.25" customHeight="1" x14ac:dyDescent="0.2">
      <c r="A104" s="19"/>
    </row>
    <row r="105" spans="1:1" ht="11.25" customHeight="1" x14ac:dyDescent="0.2">
      <c r="A105" s="19"/>
    </row>
    <row r="106" spans="1:1" ht="11.25" customHeight="1" x14ac:dyDescent="0.2">
      <c r="A106" s="19"/>
    </row>
    <row r="107" spans="1:1" ht="11.25" customHeight="1" x14ac:dyDescent="0.2">
      <c r="A107" s="19"/>
    </row>
    <row r="108" spans="1:1" ht="11.25" customHeight="1" x14ac:dyDescent="0.2">
      <c r="A108" s="19"/>
    </row>
    <row r="109" spans="1:1" ht="11.25" customHeight="1" x14ac:dyDescent="0.2">
      <c r="A109" s="19"/>
    </row>
    <row r="110" spans="1:1" ht="11.25" customHeight="1" x14ac:dyDescent="0.2">
      <c r="A110" s="19"/>
    </row>
    <row r="111" spans="1:1" ht="11.25" customHeight="1" x14ac:dyDescent="0.2">
      <c r="A111" s="19"/>
    </row>
    <row r="112" spans="1:1" ht="11.25" customHeight="1" x14ac:dyDescent="0.2">
      <c r="A112" s="19"/>
    </row>
    <row r="113" spans="1:1" ht="11.25" customHeight="1" x14ac:dyDescent="0.2">
      <c r="A113" s="19"/>
    </row>
    <row r="114" spans="1:1" ht="11.25" customHeight="1" x14ac:dyDescent="0.2">
      <c r="A114" s="19"/>
    </row>
    <row r="115" spans="1:1" ht="11.25" customHeight="1" x14ac:dyDescent="0.2">
      <c r="A115" s="19"/>
    </row>
    <row r="116" spans="1:1" ht="11.25" customHeight="1" x14ac:dyDescent="0.2">
      <c r="A116" s="19"/>
    </row>
    <row r="117" spans="1:1" ht="11.25" customHeight="1" x14ac:dyDescent="0.2">
      <c r="A117" s="19"/>
    </row>
    <row r="118" spans="1:1" ht="11.25" customHeight="1" x14ac:dyDescent="0.2">
      <c r="A118" s="19"/>
    </row>
    <row r="119" spans="1:1" ht="11.25" customHeight="1" x14ac:dyDescent="0.2">
      <c r="A119" s="19"/>
    </row>
    <row r="120" spans="1:1" ht="11.25" customHeight="1" x14ac:dyDescent="0.2">
      <c r="A120" s="19"/>
    </row>
    <row r="121" spans="1:1" ht="11.25" customHeight="1" x14ac:dyDescent="0.2">
      <c r="A121" s="19"/>
    </row>
    <row r="122" spans="1:1" ht="11.25" customHeight="1" x14ac:dyDescent="0.2">
      <c r="A122" s="19"/>
    </row>
    <row r="123" spans="1:1" ht="11.25" customHeight="1" x14ac:dyDescent="0.2">
      <c r="A123" s="19"/>
    </row>
    <row r="124" spans="1:1" ht="11.25" customHeight="1" x14ac:dyDescent="0.2">
      <c r="A124" s="19"/>
    </row>
    <row r="125" spans="1:1" ht="11.25" customHeight="1" x14ac:dyDescent="0.2">
      <c r="A125" s="19"/>
    </row>
    <row r="126" spans="1:1" ht="11.25" customHeight="1" x14ac:dyDescent="0.2">
      <c r="A126" s="19"/>
    </row>
    <row r="127" spans="1:1" ht="11.25" customHeight="1" x14ac:dyDescent="0.2">
      <c r="A127" s="19"/>
    </row>
    <row r="128" spans="1:1" ht="11.25" customHeight="1" x14ac:dyDescent="0.2">
      <c r="A128" s="19"/>
    </row>
    <row r="129" spans="1:1" ht="11.25" customHeight="1" x14ac:dyDescent="0.2">
      <c r="A129" s="19"/>
    </row>
    <row r="130" spans="1:1" ht="11.25" customHeight="1" x14ac:dyDescent="0.2">
      <c r="A130" s="19"/>
    </row>
    <row r="131" spans="1:1" ht="11.25" customHeight="1" x14ac:dyDescent="0.2">
      <c r="A131" s="19"/>
    </row>
    <row r="132" spans="1:1" ht="11.25" customHeight="1" x14ac:dyDescent="0.2">
      <c r="A132" s="19"/>
    </row>
    <row r="133" spans="1:1" ht="11.25" customHeight="1" x14ac:dyDescent="0.2">
      <c r="A133" s="19"/>
    </row>
    <row r="134" spans="1:1" ht="11.25" customHeight="1" x14ac:dyDescent="0.2">
      <c r="A134" s="19"/>
    </row>
    <row r="135" spans="1:1" ht="11.25" customHeight="1" x14ac:dyDescent="0.2">
      <c r="A135" s="19"/>
    </row>
    <row r="136" spans="1:1" ht="11.25" customHeight="1" x14ac:dyDescent="0.2">
      <c r="A136" s="19"/>
    </row>
    <row r="137" spans="1:1" ht="11.25" customHeight="1" x14ac:dyDescent="0.2">
      <c r="A137" s="19"/>
    </row>
    <row r="138" spans="1:1" ht="11.25" customHeight="1" x14ac:dyDescent="0.2">
      <c r="A138" s="19"/>
    </row>
    <row r="139" spans="1:1" ht="11.25" customHeight="1" x14ac:dyDescent="0.2">
      <c r="A139" s="19"/>
    </row>
    <row r="140" spans="1:1" ht="11.25" customHeight="1" x14ac:dyDescent="0.2">
      <c r="A140" s="19"/>
    </row>
    <row r="141" spans="1:1" ht="11.25" customHeight="1" x14ac:dyDescent="0.2">
      <c r="A141" s="19"/>
    </row>
    <row r="142" spans="1:1" ht="11.25" customHeight="1" x14ac:dyDescent="0.2">
      <c r="A142" s="19"/>
    </row>
    <row r="143" spans="1:1" ht="11.25" customHeight="1" x14ac:dyDescent="0.2">
      <c r="A143" s="19"/>
    </row>
    <row r="144" spans="1:1" ht="11.25" customHeight="1" x14ac:dyDescent="0.2">
      <c r="A144" s="19"/>
    </row>
    <row r="145" spans="1:1" ht="11.25" customHeight="1" x14ac:dyDescent="0.2">
      <c r="A145" s="19"/>
    </row>
    <row r="146" spans="1:1" ht="11.25" customHeight="1" x14ac:dyDescent="0.2">
      <c r="A146" s="19"/>
    </row>
    <row r="147" spans="1:1" ht="11.25" customHeight="1" x14ac:dyDescent="0.2">
      <c r="A147" s="19"/>
    </row>
    <row r="148" spans="1:1" ht="11.25" customHeight="1" x14ac:dyDescent="0.2">
      <c r="A148" s="19"/>
    </row>
    <row r="149" spans="1:1" ht="11.25" customHeight="1" x14ac:dyDescent="0.2">
      <c r="A149" s="19"/>
    </row>
    <row r="150" spans="1:1" ht="11.25" customHeight="1" x14ac:dyDescent="0.2">
      <c r="A150" s="19"/>
    </row>
    <row r="151" spans="1:1" ht="11.25" customHeight="1" x14ac:dyDescent="0.2">
      <c r="A151" s="19"/>
    </row>
    <row r="152" spans="1:1" ht="11.25" customHeight="1" x14ac:dyDescent="0.2">
      <c r="A152" s="19"/>
    </row>
    <row r="153" spans="1:1" ht="11.25" customHeight="1" x14ac:dyDescent="0.2">
      <c r="A153" s="19"/>
    </row>
    <row r="154" spans="1:1" ht="11.25" customHeight="1" x14ac:dyDescent="0.2">
      <c r="A154" s="19"/>
    </row>
    <row r="155" spans="1:1" ht="11.25" customHeight="1" x14ac:dyDescent="0.2">
      <c r="A155" s="19"/>
    </row>
    <row r="156" spans="1:1" ht="11.25" customHeight="1" x14ac:dyDescent="0.2">
      <c r="A156" s="19"/>
    </row>
    <row r="157" spans="1:1" ht="11.25" customHeight="1" x14ac:dyDescent="0.2">
      <c r="A157" s="19"/>
    </row>
    <row r="158" spans="1:1" ht="11.25" customHeight="1" x14ac:dyDescent="0.2">
      <c r="A158" s="19"/>
    </row>
    <row r="159" spans="1:1" ht="11.25" customHeight="1" x14ac:dyDescent="0.2">
      <c r="A159" s="19"/>
    </row>
    <row r="160" spans="1:1" ht="11.25" customHeight="1" x14ac:dyDescent="0.2">
      <c r="A160" s="19"/>
    </row>
    <row r="161" spans="1:1" ht="11.25" customHeight="1" x14ac:dyDescent="0.2">
      <c r="A161" s="19"/>
    </row>
    <row r="162" spans="1:1" ht="11.25" customHeight="1" x14ac:dyDescent="0.2">
      <c r="A162" s="19"/>
    </row>
    <row r="163" spans="1:1" ht="11.25" customHeight="1" x14ac:dyDescent="0.2">
      <c r="A163" s="19"/>
    </row>
    <row r="164" spans="1:1" ht="11.25" customHeight="1" x14ac:dyDescent="0.2">
      <c r="A164" s="19"/>
    </row>
    <row r="165" spans="1:1" ht="11.25" customHeight="1" x14ac:dyDescent="0.2">
      <c r="A165" s="19"/>
    </row>
    <row r="166" spans="1:1" ht="11.25" customHeight="1" x14ac:dyDescent="0.2">
      <c r="A166" s="19"/>
    </row>
    <row r="167" spans="1:1" ht="11.25" customHeight="1" x14ac:dyDescent="0.2">
      <c r="A167" s="19"/>
    </row>
    <row r="168" spans="1:1" ht="11.25" customHeight="1" x14ac:dyDescent="0.2">
      <c r="A168" s="19"/>
    </row>
    <row r="169" spans="1:1" ht="11.25" customHeight="1" x14ac:dyDescent="0.2">
      <c r="A169" s="19"/>
    </row>
    <row r="170" spans="1:1" ht="11.25" customHeight="1" x14ac:dyDescent="0.2">
      <c r="A170" s="19"/>
    </row>
    <row r="171" spans="1:1" ht="11.25" customHeight="1" x14ac:dyDescent="0.2">
      <c r="A171" s="19"/>
    </row>
    <row r="172" spans="1:1" ht="11.25" customHeight="1" x14ac:dyDescent="0.2">
      <c r="A172" s="19"/>
    </row>
    <row r="173" spans="1:1" ht="11.25" customHeight="1" x14ac:dyDescent="0.2">
      <c r="A173" s="19"/>
    </row>
    <row r="174" spans="1:1" ht="11.25" customHeight="1" x14ac:dyDescent="0.2">
      <c r="A174" s="19"/>
    </row>
    <row r="175" spans="1:1" ht="11.25" customHeight="1" x14ac:dyDescent="0.2">
      <c r="A175" s="19"/>
    </row>
    <row r="176" spans="1:1" ht="11.25" customHeight="1" x14ac:dyDescent="0.2">
      <c r="A176" s="19"/>
    </row>
    <row r="177" spans="1:1" ht="11.25" customHeight="1" x14ac:dyDescent="0.2">
      <c r="A177" s="19"/>
    </row>
    <row r="178" spans="1:1" ht="11.25" customHeight="1" x14ac:dyDescent="0.2">
      <c r="A178" s="19"/>
    </row>
    <row r="179" spans="1:1" ht="11.25" customHeight="1" x14ac:dyDescent="0.2">
      <c r="A179" s="19"/>
    </row>
    <row r="180" spans="1:1" ht="11.25" customHeight="1" x14ac:dyDescent="0.2">
      <c r="A180" s="19"/>
    </row>
    <row r="181" spans="1:1" ht="11.25" customHeight="1" x14ac:dyDescent="0.2">
      <c r="A181" s="19"/>
    </row>
    <row r="182" spans="1:1" ht="11.25" customHeight="1" x14ac:dyDescent="0.2">
      <c r="A182" s="19"/>
    </row>
    <row r="183" spans="1:1" ht="11.25" customHeight="1" x14ac:dyDescent="0.2">
      <c r="A183" s="19"/>
    </row>
    <row r="184" spans="1:1" ht="11.25" customHeight="1" x14ac:dyDescent="0.2">
      <c r="A184" s="19"/>
    </row>
    <row r="185" spans="1:1" ht="11.25" customHeight="1" x14ac:dyDescent="0.2">
      <c r="A185" s="19"/>
    </row>
    <row r="186" spans="1:1" ht="11.25" customHeight="1" x14ac:dyDescent="0.2">
      <c r="A186" s="19"/>
    </row>
    <row r="187" spans="1:1" ht="11.25" customHeight="1" x14ac:dyDescent="0.2">
      <c r="A187" s="19"/>
    </row>
    <row r="188" spans="1:1" ht="11.25" customHeight="1" x14ac:dyDescent="0.2">
      <c r="A188" s="19"/>
    </row>
    <row r="189" spans="1:1" ht="11.25" customHeight="1" x14ac:dyDescent="0.2">
      <c r="A189" s="19"/>
    </row>
    <row r="190" spans="1:1" ht="11.25" customHeight="1" x14ac:dyDescent="0.2">
      <c r="A190" s="19"/>
    </row>
    <row r="191" spans="1:1" ht="11.25" customHeight="1" x14ac:dyDescent="0.2">
      <c r="A191" s="19"/>
    </row>
    <row r="192" spans="1:1" ht="11.25" customHeight="1" x14ac:dyDescent="0.2">
      <c r="A192" s="19"/>
    </row>
    <row r="193" spans="1:1" ht="11.25" customHeight="1" x14ac:dyDescent="0.2">
      <c r="A193" s="19"/>
    </row>
    <row r="194" spans="1:1" ht="11.25" customHeight="1" x14ac:dyDescent="0.2">
      <c r="A194" s="19"/>
    </row>
    <row r="195" spans="1:1" ht="11.25" customHeight="1" x14ac:dyDescent="0.2">
      <c r="A195" s="19"/>
    </row>
    <row r="196" spans="1:1" ht="11.25" customHeight="1" x14ac:dyDescent="0.2">
      <c r="A196" s="19"/>
    </row>
    <row r="197" spans="1:1" ht="11.25" customHeight="1" x14ac:dyDescent="0.2">
      <c r="A197" s="19"/>
    </row>
    <row r="198" spans="1:1" ht="11.25" customHeight="1" x14ac:dyDescent="0.2">
      <c r="A198" s="19"/>
    </row>
    <row r="199" spans="1:1" ht="11.25" customHeight="1" x14ac:dyDescent="0.2">
      <c r="A199" s="19"/>
    </row>
    <row r="200" spans="1:1" ht="11.25" customHeight="1" x14ac:dyDescent="0.2">
      <c r="A200" s="19"/>
    </row>
    <row r="201" spans="1:1" ht="11.25" customHeight="1" x14ac:dyDescent="0.2">
      <c r="A201" s="19"/>
    </row>
    <row r="202" spans="1:1" ht="11.25" customHeight="1" x14ac:dyDescent="0.2">
      <c r="A202" s="19"/>
    </row>
    <row r="203" spans="1:1" ht="11.25" customHeight="1" x14ac:dyDescent="0.2">
      <c r="A203" s="19"/>
    </row>
    <row r="204" spans="1:1" ht="11.25" customHeight="1" x14ac:dyDescent="0.2">
      <c r="A204" s="19"/>
    </row>
    <row r="205" spans="1:1" ht="11.25" customHeight="1" x14ac:dyDescent="0.2">
      <c r="A205" s="19"/>
    </row>
    <row r="206" spans="1:1" ht="11.25" customHeight="1" x14ac:dyDescent="0.2">
      <c r="A206" s="19"/>
    </row>
    <row r="207" spans="1:1" ht="11.25" customHeight="1" x14ac:dyDescent="0.2">
      <c r="A207" s="19"/>
    </row>
    <row r="208" spans="1:1" ht="11.25" customHeight="1" x14ac:dyDescent="0.2">
      <c r="A208" s="19"/>
    </row>
    <row r="209" spans="1:1" ht="11.25" customHeight="1" x14ac:dyDescent="0.2">
      <c r="A209" s="19"/>
    </row>
    <row r="210" spans="1:1" ht="11.25" customHeight="1" x14ac:dyDescent="0.2">
      <c r="A210" s="19"/>
    </row>
    <row r="211" spans="1:1" ht="11.25" customHeight="1" x14ac:dyDescent="0.2">
      <c r="A211" s="19"/>
    </row>
    <row r="212" spans="1:1" ht="11.25" customHeight="1" x14ac:dyDescent="0.2">
      <c r="A212" s="19"/>
    </row>
    <row r="213" spans="1:1" ht="11.25" customHeight="1" x14ac:dyDescent="0.2">
      <c r="A213" s="19"/>
    </row>
    <row r="214" spans="1:1" ht="11.25" customHeight="1" x14ac:dyDescent="0.2">
      <c r="A214" s="19"/>
    </row>
    <row r="215" spans="1:1" ht="11.25" customHeight="1" x14ac:dyDescent="0.2">
      <c r="A215" s="19"/>
    </row>
    <row r="216" spans="1:1" ht="11.25" customHeight="1" x14ac:dyDescent="0.2">
      <c r="A216" s="19"/>
    </row>
    <row r="217" spans="1:1" ht="11.25" customHeight="1" x14ac:dyDescent="0.2">
      <c r="A217" s="19"/>
    </row>
    <row r="218" spans="1:1" ht="11.25" customHeight="1" x14ac:dyDescent="0.2">
      <c r="A218" s="19"/>
    </row>
    <row r="219" spans="1:1" ht="11.25" customHeight="1" x14ac:dyDescent="0.2">
      <c r="A219" s="19"/>
    </row>
    <row r="220" spans="1:1" ht="11.25" customHeight="1" x14ac:dyDescent="0.2">
      <c r="A220" s="19"/>
    </row>
    <row r="221" spans="1:1" ht="11.25" customHeight="1" x14ac:dyDescent="0.2">
      <c r="A221" s="19"/>
    </row>
    <row r="222" spans="1:1" ht="11.25" customHeight="1" x14ac:dyDescent="0.2">
      <c r="A222" s="19"/>
    </row>
    <row r="223" spans="1:1" ht="11.25" customHeight="1" x14ac:dyDescent="0.2">
      <c r="A223" s="19"/>
    </row>
    <row r="224" spans="1:1" ht="11.25" customHeight="1" x14ac:dyDescent="0.2">
      <c r="A224" s="19"/>
    </row>
    <row r="225" spans="1:1" ht="11.25" customHeight="1" x14ac:dyDescent="0.2">
      <c r="A225" s="19"/>
    </row>
    <row r="226" spans="1:1" ht="11.25" customHeight="1" x14ac:dyDescent="0.2">
      <c r="A226" s="19"/>
    </row>
    <row r="227" spans="1:1" ht="11.25" customHeight="1" x14ac:dyDescent="0.2">
      <c r="A227" s="19"/>
    </row>
    <row r="228" spans="1:1" ht="11.25" customHeight="1" x14ac:dyDescent="0.2">
      <c r="A228" s="19"/>
    </row>
    <row r="229" spans="1:1" ht="11.25" customHeight="1" x14ac:dyDescent="0.2">
      <c r="A229" s="19"/>
    </row>
    <row r="230" spans="1:1" ht="11.25" customHeight="1" x14ac:dyDescent="0.2">
      <c r="A230" s="19"/>
    </row>
    <row r="231" spans="1:1" ht="11.25" customHeight="1" x14ac:dyDescent="0.2">
      <c r="A231" s="19"/>
    </row>
    <row r="232" spans="1:1" ht="11.25" customHeight="1" x14ac:dyDescent="0.2">
      <c r="A232" s="19"/>
    </row>
    <row r="233" spans="1:1" ht="11.25" customHeight="1" x14ac:dyDescent="0.2">
      <c r="A233" s="19"/>
    </row>
    <row r="234" spans="1:1" ht="11.25" customHeight="1" x14ac:dyDescent="0.2">
      <c r="A234" s="19"/>
    </row>
    <row r="235" spans="1:1" ht="11.25" customHeight="1" x14ac:dyDescent="0.2">
      <c r="A235" s="19"/>
    </row>
    <row r="236" spans="1:1" ht="11.25" customHeight="1" x14ac:dyDescent="0.2">
      <c r="A236" s="19"/>
    </row>
    <row r="237" spans="1:1" ht="11.25" customHeight="1" x14ac:dyDescent="0.2">
      <c r="A237" s="19"/>
    </row>
    <row r="238" spans="1:1" ht="11.25" customHeight="1" x14ac:dyDescent="0.2">
      <c r="A238" s="19"/>
    </row>
    <row r="239" spans="1:1" ht="11.25" customHeight="1" x14ac:dyDescent="0.2">
      <c r="A239" s="19"/>
    </row>
    <row r="240" spans="1:1" ht="11.25" customHeight="1" x14ac:dyDescent="0.2">
      <c r="A240" s="19"/>
    </row>
    <row r="241" spans="1:1" ht="11.25" customHeight="1" x14ac:dyDescent="0.2">
      <c r="A241" s="19"/>
    </row>
    <row r="242" spans="1:1" ht="11.25" customHeight="1" x14ac:dyDescent="0.2">
      <c r="A242" s="19"/>
    </row>
    <row r="243" spans="1:1" ht="11.25" customHeight="1" x14ac:dyDescent="0.2">
      <c r="A243" s="19"/>
    </row>
    <row r="244" spans="1:1" ht="11.25" customHeight="1" x14ac:dyDescent="0.2">
      <c r="A244" s="19"/>
    </row>
    <row r="245" spans="1:1" ht="11.25" customHeight="1" x14ac:dyDescent="0.2">
      <c r="A245" s="19"/>
    </row>
    <row r="246" spans="1:1" ht="11.25" customHeight="1" x14ac:dyDescent="0.2">
      <c r="A246" s="19"/>
    </row>
    <row r="247" spans="1:1" ht="11.25" customHeight="1" x14ac:dyDescent="0.2">
      <c r="A247" s="19"/>
    </row>
    <row r="248" spans="1:1" ht="11.25" customHeight="1" x14ac:dyDescent="0.2">
      <c r="A248" s="19"/>
    </row>
    <row r="249" spans="1:1" ht="11.25" customHeight="1" x14ac:dyDescent="0.2">
      <c r="A249" s="19"/>
    </row>
    <row r="250" spans="1:1" ht="11.25" customHeight="1" x14ac:dyDescent="0.2">
      <c r="A250" s="19"/>
    </row>
    <row r="251" spans="1:1" ht="11.25" customHeight="1" x14ac:dyDescent="0.2">
      <c r="A251" s="19"/>
    </row>
    <row r="252" spans="1:1" ht="11.25" customHeight="1" x14ac:dyDescent="0.2">
      <c r="A252" s="19"/>
    </row>
    <row r="253" spans="1:1" ht="11.25" customHeight="1" x14ac:dyDescent="0.2">
      <c r="A253" s="19"/>
    </row>
    <row r="254" spans="1:1" ht="11.25" customHeight="1" x14ac:dyDescent="0.2">
      <c r="A254" s="19"/>
    </row>
  </sheetData>
  <mergeCells count="7">
    <mergeCell ref="C4:D4"/>
    <mergeCell ref="F4:H4"/>
    <mergeCell ref="J14:R16"/>
    <mergeCell ref="J22:R24"/>
    <mergeCell ref="J27:R29"/>
    <mergeCell ref="J20:M21"/>
    <mergeCell ref="J18:R19"/>
  </mergeCells>
  <hyperlinks>
    <hyperlink ref="C35" r:id="rId1" xr:uid="{00000000-0004-0000-04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topLeftCell="A3" workbookViewId="0">
      <selection activeCell="O7" sqref="O7"/>
    </sheetView>
  </sheetViews>
  <sheetFormatPr defaultRowHeight="15" x14ac:dyDescent="0.25"/>
  <cols>
    <col min="1" max="1" width="2" style="124" customWidth="1"/>
    <col min="2" max="2" width="2.85546875" style="1" customWidth="1"/>
    <col min="3" max="3" width="12.7109375" style="1" customWidth="1"/>
    <col min="4" max="4" width="10.7109375" style="1" customWidth="1"/>
    <col min="5" max="5" width="9" style="1" customWidth="1"/>
    <col min="6" max="6" width="11.7109375" style="1" customWidth="1"/>
    <col min="7" max="7" width="14.140625" style="1" customWidth="1"/>
    <col min="8" max="8" width="4.85546875" style="1" customWidth="1"/>
    <col min="9" max="9" width="14" style="1" customWidth="1"/>
    <col min="10" max="10" width="10.5703125" style="1" customWidth="1"/>
    <col min="11" max="11" width="18.85546875" style="1" customWidth="1"/>
    <col min="12" max="15" width="14.5703125" style="1" bestFit="1" customWidth="1"/>
    <col min="16" max="16" width="2.5703125" style="69" customWidth="1"/>
    <col min="17" max="16384" width="9.140625" style="1"/>
  </cols>
  <sheetData>
    <row r="1" spans="1:17" ht="1.5" hidden="1" customHeight="1" x14ac:dyDescent="0.25">
      <c r="C1" s="172" t="s">
        <v>0</v>
      </c>
    </row>
    <row r="2" spans="1:17" s="173" customFormat="1" ht="56.25" hidden="1" customHeight="1" x14ac:dyDescent="0.2">
      <c r="A2" s="183"/>
      <c r="C2" s="178" t="s">
        <v>1</v>
      </c>
      <c r="D2" s="179">
        <f>TRUNC(412939.66/1000)</f>
        <v>412</v>
      </c>
      <c r="E2" s="179">
        <f>TRUNC(583793.44/1000)</f>
        <v>583</v>
      </c>
      <c r="F2" s="179">
        <f>TRUNC(531965.83/1000)</f>
        <v>531</v>
      </c>
      <c r="G2" s="179">
        <f>TRUNC(410463.08/1000)</f>
        <v>410</v>
      </c>
      <c r="H2" s="179">
        <f>TRUNC(434281.83/1000)</f>
        <v>434</v>
      </c>
      <c r="I2" s="179">
        <f>TRUNC(456922.3/1000)</f>
        <v>456</v>
      </c>
      <c r="J2" s="179">
        <f>TRUNC(440501.08/1000)</f>
        <v>440</v>
      </c>
      <c r="K2" s="179">
        <f>TRUNC(392851.25/1000)</f>
        <v>392</v>
      </c>
      <c r="L2" s="179">
        <f>TRUNC(505707.91/1000)</f>
        <v>505</v>
      </c>
      <c r="M2" s="179">
        <f>TRUNC(497236.66/1000)</f>
        <v>497</v>
      </c>
      <c r="N2" s="179">
        <f>TRUNC(495380.58/1000)</f>
        <v>495</v>
      </c>
      <c r="O2" s="179">
        <f>TRUNC(691209.69/1000)</f>
        <v>691</v>
      </c>
      <c r="P2" s="248">
        <f>TRUNC(5853253.31/1000)</f>
        <v>5853</v>
      </c>
    </row>
    <row r="3" spans="1:17" s="183" customFormat="1" ht="9.75" customHeight="1" x14ac:dyDescent="0.2"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249"/>
      <c r="Q3" s="186"/>
    </row>
    <row r="4" spans="1:17" s="173" customFormat="1" ht="13.5" customHeight="1" x14ac:dyDescent="0.2">
      <c r="A4" s="183"/>
      <c r="C4" s="181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0"/>
      <c r="Q4" s="182"/>
    </row>
    <row r="5" spans="1:17" s="173" customFormat="1" ht="23.25" customHeight="1" x14ac:dyDescent="0.2">
      <c r="A5" s="183"/>
      <c r="C5" s="467" t="s">
        <v>99</v>
      </c>
      <c r="D5" s="468"/>
      <c r="E5" s="468"/>
      <c r="F5" s="468"/>
      <c r="G5" s="468"/>
      <c r="H5" s="468"/>
      <c r="I5" s="468"/>
      <c r="J5" s="468"/>
      <c r="K5" s="185"/>
      <c r="L5" s="185"/>
      <c r="M5" s="185"/>
      <c r="N5" s="180"/>
      <c r="O5" s="180"/>
      <c r="P5" s="250"/>
    </row>
    <row r="6" spans="1:17" ht="15" customHeight="1" x14ac:dyDescent="0.25">
      <c r="C6" s="252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1:17" ht="60.75" customHeight="1" thickBot="1" x14ac:dyDescent="0.3">
      <c r="C7" s="469" t="s">
        <v>167</v>
      </c>
      <c r="D7" s="469"/>
      <c r="E7" s="191"/>
      <c r="F7" s="470" t="s">
        <v>168</v>
      </c>
      <c r="G7" s="471"/>
      <c r="H7" s="191"/>
      <c r="I7" s="471" t="s">
        <v>170</v>
      </c>
      <c r="J7" s="471"/>
      <c r="K7" s="67"/>
      <c r="P7" s="251"/>
    </row>
    <row r="8" spans="1:17" ht="28.5" customHeight="1" thickBot="1" x14ac:dyDescent="0.3">
      <c r="C8" s="193" t="s">
        <v>171</v>
      </c>
      <c r="D8" s="194" t="s">
        <v>3</v>
      </c>
      <c r="E8" s="67"/>
      <c r="F8" s="194" t="str">
        <f>C8</f>
        <v>Amostra                 nº</v>
      </c>
      <c r="G8" s="194" t="s">
        <v>3</v>
      </c>
      <c r="H8" s="93"/>
      <c r="I8" s="196" t="s">
        <v>172</v>
      </c>
      <c r="J8" s="197" t="s">
        <v>130</v>
      </c>
      <c r="K8" s="67"/>
    </row>
    <row r="9" spans="1:17" ht="21" customHeight="1" x14ac:dyDescent="0.25">
      <c r="C9" s="89">
        <v>1</v>
      </c>
      <c r="D9" s="89">
        <f t="array" ref="D9:D21">TRANSPOSE(D2:P2)</f>
        <v>412</v>
      </c>
      <c r="E9" s="67"/>
      <c r="F9" s="89">
        <v>8</v>
      </c>
      <c r="G9" s="89">
        <f>J9</f>
        <v>392</v>
      </c>
      <c r="H9" s="93"/>
      <c r="I9" s="198" t="s">
        <v>118</v>
      </c>
      <c r="J9" s="199">
        <f>D16</f>
        <v>392</v>
      </c>
      <c r="K9" s="188" t="s">
        <v>166</v>
      </c>
      <c r="L9" s="189"/>
      <c r="M9" s="189"/>
      <c r="N9" s="50"/>
    </row>
    <row r="10" spans="1:17" ht="21" customHeight="1" x14ac:dyDescent="0.25">
      <c r="C10" s="89">
        <v>2</v>
      </c>
      <c r="D10" s="89">
        <v>583</v>
      </c>
      <c r="E10" s="67"/>
      <c r="F10" s="89">
        <v>4</v>
      </c>
      <c r="G10" s="89">
        <f t="shared" ref="G10:G20" si="0">J10</f>
        <v>410</v>
      </c>
      <c r="H10" s="93"/>
      <c r="I10" s="198" t="s">
        <v>119</v>
      </c>
      <c r="J10" s="200">
        <f>D12</f>
        <v>410</v>
      </c>
      <c r="K10" s="67"/>
    </row>
    <row r="11" spans="1:17" ht="21" customHeight="1" thickBot="1" x14ac:dyDescent="0.3">
      <c r="C11" s="89">
        <v>3</v>
      </c>
      <c r="D11" s="89">
        <v>531</v>
      </c>
      <c r="E11" s="89"/>
      <c r="F11" s="89">
        <v>1</v>
      </c>
      <c r="G11" s="89">
        <f t="shared" si="0"/>
        <v>412</v>
      </c>
      <c r="H11" s="93"/>
      <c r="I11" s="198" t="s">
        <v>120</v>
      </c>
      <c r="J11" s="200">
        <f>D9</f>
        <v>412</v>
      </c>
      <c r="K11" s="175" t="s">
        <v>79</v>
      </c>
    </row>
    <row r="12" spans="1:17" ht="21" customHeight="1" thickBot="1" x14ac:dyDescent="0.3">
      <c r="C12" s="89">
        <v>4</v>
      </c>
      <c r="D12" s="89">
        <v>410</v>
      </c>
      <c r="E12" s="89"/>
      <c r="F12" s="89">
        <v>5</v>
      </c>
      <c r="G12" s="89">
        <f t="shared" si="0"/>
        <v>434</v>
      </c>
      <c r="H12" s="93"/>
      <c r="I12" s="198" t="s">
        <v>121</v>
      </c>
      <c r="J12" s="200">
        <f>D13</f>
        <v>434</v>
      </c>
      <c r="K12" s="205"/>
      <c r="L12" s="1" t="str">
        <f>IF(K12="",""," A posição fica entre a 6ª e 7ª posição. Certo!")</f>
        <v/>
      </c>
    </row>
    <row r="13" spans="1:17" ht="21" customHeight="1" thickBot="1" x14ac:dyDescent="0.3">
      <c r="C13" s="89">
        <v>5</v>
      </c>
      <c r="D13" s="89">
        <v>434</v>
      </c>
      <c r="E13" s="89"/>
      <c r="F13" s="89">
        <v>7</v>
      </c>
      <c r="G13" s="89">
        <f t="shared" si="0"/>
        <v>440</v>
      </c>
      <c r="H13" s="93"/>
      <c r="I13" s="198" t="s">
        <v>122</v>
      </c>
      <c r="J13" s="200">
        <f>D15</f>
        <v>440</v>
      </c>
      <c r="K13" s="176" t="s">
        <v>76</v>
      </c>
    </row>
    <row r="14" spans="1:17" ht="21" customHeight="1" thickBot="1" x14ac:dyDescent="0.3">
      <c r="C14" s="89">
        <v>6</v>
      </c>
      <c r="D14" s="89">
        <v>456</v>
      </c>
      <c r="E14" s="89"/>
      <c r="F14" s="89">
        <v>6</v>
      </c>
      <c r="G14" s="89">
        <f t="shared" si="0"/>
        <v>456</v>
      </c>
      <c r="H14" s="93"/>
      <c r="I14" s="201" t="s">
        <v>123</v>
      </c>
      <c r="J14" s="202">
        <f>D14</f>
        <v>456</v>
      </c>
      <c r="K14" s="205"/>
      <c r="L14" s="1" t="str">
        <f>IF(K14="","",IF(ABS(K14-(J14+J15)/2)&lt;1,"Certo","Errado"))</f>
        <v/>
      </c>
      <c r="M14" s="195"/>
    </row>
    <row r="15" spans="1:17" ht="21" customHeight="1" thickBot="1" x14ac:dyDescent="0.3">
      <c r="C15" s="89">
        <v>7</v>
      </c>
      <c r="D15" s="89">
        <v>440</v>
      </c>
      <c r="E15" s="89"/>
      <c r="F15" s="89">
        <v>11</v>
      </c>
      <c r="G15" s="89">
        <f t="shared" si="0"/>
        <v>495</v>
      </c>
      <c r="H15" s="93"/>
      <c r="I15" s="203" t="s">
        <v>124</v>
      </c>
      <c r="J15" s="204">
        <f>D19</f>
        <v>495</v>
      </c>
      <c r="K15" s="176" t="s">
        <v>173</v>
      </c>
    </row>
    <row r="16" spans="1:17" ht="21" customHeight="1" x14ac:dyDescent="0.25">
      <c r="C16" s="89">
        <v>8</v>
      </c>
      <c r="D16" s="89">
        <v>392</v>
      </c>
      <c r="E16" s="89"/>
      <c r="F16" s="89">
        <v>10</v>
      </c>
      <c r="G16" s="89">
        <f t="shared" si="0"/>
        <v>497</v>
      </c>
      <c r="H16" s="93"/>
      <c r="I16" s="203" t="s">
        <v>125</v>
      </c>
      <c r="J16" s="204">
        <f>D18</f>
        <v>497</v>
      </c>
      <c r="K16" s="461"/>
      <c r="L16" s="461"/>
      <c r="M16" s="461"/>
      <c r="N16" s="462"/>
    </row>
    <row r="17" spans="2:14" ht="21" customHeight="1" x14ac:dyDescent="0.25">
      <c r="C17" s="89">
        <v>9</v>
      </c>
      <c r="D17" s="89">
        <v>505</v>
      </c>
      <c r="E17" s="89"/>
      <c r="F17" s="89">
        <v>9</v>
      </c>
      <c r="G17" s="89">
        <f t="shared" si="0"/>
        <v>505</v>
      </c>
      <c r="H17" s="93"/>
      <c r="I17" s="203" t="s">
        <v>126</v>
      </c>
      <c r="J17" s="204">
        <f>D17</f>
        <v>505</v>
      </c>
      <c r="K17" s="463"/>
      <c r="L17" s="463"/>
      <c r="M17" s="463"/>
      <c r="N17" s="464"/>
    </row>
    <row r="18" spans="2:14" ht="21" customHeight="1" x14ac:dyDescent="0.25">
      <c r="C18" s="89">
        <v>10</v>
      </c>
      <c r="D18" s="89">
        <v>497</v>
      </c>
      <c r="E18" s="89"/>
      <c r="F18" s="89">
        <v>3</v>
      </c>
      <c r="G18" s="89">
        <f t="shared" si="0"/>
        <v>531</v>
      </c>
      <c r="H18" s="93"/>
      <c r="I18" s="203" t="s">
        <v>127</v>
      </c>
      <c r="J18" s="204">
        <f>D11</f>
        <v>531</v>
      </c>
      <c r="K18" s="463"/>
      <c r="L18" s="463"/>
      <c r="M18" s="463"/>
      <c r="N18" s="464"/>
    </row>
    <row r="19" spans="2:14" ht="21" customHeight="1" x14ac:dyDescent="0.25">
      <c r="C19" s="89">
        <v>11</v>
      </c>
      <c r="D19" s="89">
        <v>495</v>
      </c>
      <c r="E19" s="89"/>
      <c r="F19" s="89">
        <v>2</v>
      </c>
      <c r="G19" s="89">
        <f t="shared" si="0"/>
        <v>583</v>
      </c>
      <c r="H19" s="93"/>
      <c r="I19" s="203" t="s">
        <v>128</v>
      </c>
      <c r="J19" s="204">
        <f>D10</f>
        <v>583</v>
      </c>
      <c r="K19" s="463"/>
      <c r="L19" s="463"/>
      <c r="M19" s="463"/>
      <c r="N19" s="464"/>
    </row>
    <row r="20" spans="2:14" ht="21" customHeight="1" thickBot="1" x14ac:dyDescent="0.3">
      <c r="C20" s="192">
        <v>12</v>
      </c>
      <c r="D20" s="192">
        <v>691</v>
      </c>
      <c r="E20" s="89"/>
      <c r="F20" s="192">
        <v>12</v>
      </c>
      <c r="G20" s="192">
        <f t="shared" si="0"/>
        <v>691</v>
      </c>
      <c r="H20" s="93"/>
      <c r="I20" s="203" t="s">
        <v>129</v>
      </c>
      <c r="J20" s="204">
        <f>D20</f>
        <v>691</v>
      </c>
      <c r="K20" s="465"/>
      <c r="L20" s="465"/>
      <c r="M20" s="465"/>
      <c r="N20" s="466"/>
    </row>
    <row r="21" spans="2:14" ht="21" customHeight="1" thickBot="1" x14ac:dyDescent="0.3">
      <c r="B21" s="67"/>
      <c r="C21" s="187" t="s">
        <v>2</v>
      </c>
      <c r="D21" s="187">
        <v>5853</v>
      </c>
      <c r="E21" s="93"/>
      <c r="F21" s="192" t="s">
        <v>2</v>
      </c>
      <c r="G21" s="192">
        <f>D21</f>
        <v>5853</v>
      </c>
      <c r="H21" s="93"/>
      <c r="I21" s="89"/>
      <c r="J21" s="89"/>
      <c r="K21" s="1" t="str">
        <f>IF(K16="","","A professora vai corrigir esta texto")</f>
        <v/>
      </c>
    </row>
    <row r="22" spans="2:14" ht="21" customHeight="1" x14ac:dyDescent="0.25">
      <c r="K22" s="67"/>
    </row>
    <row r="23" spans="2:14" ht="15.75" x14ac:dyDescent="0.25">
      <c r="K23" s="177"/>
    </row>
    <row r="24" spans="2:14" ht="15.75" x14ac:dyDescent="0.25">
      <c r="K24" s="177"/>
    </row>
    <row r="25" spans="2:14" x14ac:dyDescent="0.25">
      <c r="K25" s="67"/>
    </row>
    <row r="26" spans="2:14" x14ac:dyDescent="0.25">
      <c r="K26" s="67"/>
    </row>
  </sheetData>
  <mergeCells count="5">
    <mergeCell ref="K16:N20"/>
    <mergeCell ref="C5:J5"/>
    <mergeCell ref="C7:D7"/>
    <mergeCell ref="F7:G7"/>
    <mergeCell ref="I7:J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72"/>
  <sheetViews>
    <sheetView workbookViewId="0">
      <selection activeCell="P32" sqref="P32"/>
    </sheetView>
  </sheetViews>
  <sheetFormatPr defaultRowHeight="12" x14ac:dyDescent="0.2"/>
  <cols>
    <col min="1" max="1" width="3" style="213" customWidth="1"/>
    <col min="2" max="2" width="3" style="19" customWidth="1"/>
    <col min="3" max="3" width="17.5703125" style="4" customWidth="1"/>
    <col min="4" max="4" width="14" style="4" customWidth="1"/>
    <col min="5" max="5" width="7.5703125" style="19" customWidth="1"/>
    <col min="6" max="6" width="15.85546875" style="4" customWidth="1"/>
    <col min="7" max="7" width="11.42578125" style="4" customWidth="1"/>
    <col min="8" max="8" width="12.28515625" style="5" customWidth="1"/>
    <col min="9" max="9" width="8.85546875" style="3" customWidth="1"/>
    <col min="10" max="10" width="18.5703125" style="4" customWidth="1"/>
    <col min="11" max="16384" width="9.140625" style="4"/>
  </cols>
  <sheetData>
    <row r="1" spans="1:28" s="210" customFormat="1" x14ac:dyDescent="0.2">
      <c r="H1" s="211"/>
      <c r="I1" s="212"/>
    </row>
    <row r="2" spans="1:28" s="22" customFormat="1" x14ac:dyDescent="0.2">
      <c r="A2" s="210"/>
      <c r="H2" s="23"/>
      <c r="I2" s="24"/>
    </row>
    <row r="3" spans="1:28" s="19" customFormat="1" ht="48" customHeight="1" x14ac:dyDescent="0.2">
      <c r="A3" s="210"/>
      <c r="C3" s="481" t="s">
        <v>88</v>
      </c>
      <c r="D3" s="481"/>
      <c r="E3" s="22"/>
      <c r="F3" s="482" t="s">
        <v>89</v>
      </c>
      <c r="G3" s="482"/>
      <c r="H3" s="482"/>
      <c r="I3" s="209"/>
    </row>
    <row r="4" spans="1:28" s="19" customFormat="1" ht="33" customHeight="1" x14ac:dyDescent="0.2">
      <c r="A4" s="210"/>
      <c r="B4" s="22"/>
      <c r="C4" s="224" t="s">
        <v>17</v>
      </c>
      <c r="D4" s="225" t="s">
        <v>82</v>
      </c>
      <c r="E4" s="207"/>
      <c r="F4" s="226" t="s">
        <v>75</v>
      </c>
      <c r="G4" s="227" t="s">
        <v>85</v>
      </c>
      <c r="H4" s="225" t="s">
        <v>131</v>
      </c>
      <c r="I4" s="228"/>
    </row>
    <row r="5" spans="1:28" ht="11.25" customHeight="1" x14ac:dyDescent="0.25">
      <c r="A5" s="210"/>
      <c r="C5" s="223" t="s">
        <v>31</v>
      </c>
      <c r="D5" s="234">
        <v>4.3099999999999996</v>
      </c>
      <c r="E5" s="207"/>
      <c r="F5" s="217" t="s">
        <v>23</v>
      </c>
      <c r="G5" s="13" t="s">
        <v>48</v>
      </c>
      <c r="H5" s="218">
        <v>4.3099999999999996</v>
      </c>
      <c r="I5" s="221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8" ht="11.25" customHeight="1" x14ac:dyDescent="0.25">
      <c r="A6" s="210"/>
      <c r="C6" s="223" t="s">
        <v>19</v>
      </c>
      <c r="D6" s="235">
        <v>5.21</v>
      </c>
      <c r="E6" s="207"/>
      <c r="F6" s="217" t="s">
        <v>19</v>
      </c>
      <c r="G6" s="236" t="s">
        <v>49</v>
      </c>
      <c r="H6" s="218">
        <v>5.21</v>
      </c>
      <c r="I6" s="2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8" ht="11.25" customHeight="1" x14ac:dyDescent="0.25">
      <c r="A7" s="210"/>
      <c r="C7" s="223" t="s">
        <v>22</v>
      </c>
      <c r="D7" s="235">
        <v>5.8</v>
      </c>
      <c r="E7" s="207"/>
      <c r="F7" s="217" t="s">
        <v>21</v>
      </c>
      <c r="G7" s="236" t="s">
        <v>50</v>
      </c>
      <c r="H7" s="218">
        <v>5.8</v>
      </c>
      <c r="I7" s="221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8" ht="11.25" customHeight="1" x14ac:dyDescent="0.25">
      <c r="A8" s="210"/>
      <c r="C8" s="223" t="s">
        <v>23</v>
      </c>
      <c r="D8" s="235">
        <v>5.9</v>
      </c>
      <c r="E8" s="207"/>
      <c r="F8" s="217" t="s">
        <v>32</v>
      </c>
      <c r="G8" s="236" t="s">
        <v>51</v>
      </c>
      <c r="H8" s="218">
        <v>5.9</v>
      </c>
      <c r="I8" s="221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8" ht="11.25" customHeight="1" x14ac:dyDescent="0.25">
      <c r="A9" s="210"/>
      <c r="C9" s="223" t="s">
        <v>20</v>
      </c>
      <c r="D9" s="235">
        <v>5.95</v>
      </c>
      <c r="E9" s="207"/>
      <c r="F9" s="217" t="s">
        <v>18</v>
      </c>
      <c r="G9" s="236" t="s">
        <v>52</v>
      </c>
      <c r="H9" s="218">
        <v>5.95</v>
      </c>
      <c r="I9" s="2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11.25" customHeight="1" x14ac:dyDescent="0.25">
      <c r="A10" s="210"/>
      <c r="C10" s="223" t="s">
        <v>25</v>
      </c>
      <c r="D10" s="235">
        <v>6.08</v>
      </c>
      <c r="E10" s="207"/>
      <c r="F10" s="217" t="s">
        <v>24</v>
      </c>
      <c r="G10" s="236" t="s">
        <v>53</v>
      </c>
      <c r="H10" s="218">
        <v>6.08</v>
      </c>
      <c r="I10" s="2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11.25" customHeight="1" x14ac:dyDescent="0.25">
      <c r="A11" s="210"/>
      <c r="C11" s="223" t="s">
        <v>30</v>
      </c>
      <c r="D11" s="235">
        <v>6.1</v>
      </c>
      <c r="E11" s="207"/>
      <c r="F11" s="217" t="s">
        <v>26</v>
      </c>
      <c r="G11" s="236" t="s">
        <v>54</v>
      </c>
      <c r="H11" s="218">
        <v>6.1</v>
      </c>
      <c r="I11" s="2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2.75" customHeight="1" thickBot="1" x14ac:dyDescent="0.3">
      <c r="A12" s="210"/>
      <c r="C12" s="223" t="s">
        <v>21</v>
      </c>
      <c r="D12" s="235">
        <v>6.17</v>
      </c>
      <c r="E12" s="207"/>
      <c r="F12" s="217" t="s">
        <v>42</v>
      </c>
      <c r="G12" s="236" t="s">
        <v>55</v>
      </c>
      <c r="H12" s="218">
        <v>6.17</v>
      </c>
      <c r="I12" s="221"/>
      <c r="J12" s="6" t="s">
        <v>90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1.25" customHeight="1" x14ac:dyDescent="0.25">
      <c r="A13" s="210"/>
      <c r="C13" s="223" t="s">
        <v>27</v>
      </c>
      <c r="D13" s="235">
        <v>6.17</v>
      </c>
      <c r="E13" s="207"/>
      <c r="F13" s="217" t="s">
        <v>31</v>
      </c>
      <c r="G13" s="236" t="s">
        <v>56</v>
      </c>
      <c r="H13" s="218">
        <v>6.17</v>
      </c>
      <c r="I13" s="221"/>
      <c r="J13" s="483"/>
      <c r="K13" s="15"/>
      <c r="L13" s="15"/>
      <c r="M13" s="15"/>
      <c r="N13" s="15"/>
      <c r="O13" s="15"/>
      <c r="P13" s="15"/>
      <c r="Q13" s="15"/>
      <c r="R13" s="15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11.25" customHeight="1" x14ac:dyDescent="0.25">
      <c r="A14" s="210"/>
      <c r="C14" s="223" t="s">
        <v>32</v>
      </c>
      <c r="D14" s="235">
        <v>6.73</v>
      </c>
      <c r="E14" s="207"/>
      <c r="F14" s="217" t="s">
        <v>22</v>
      </c>
      <c r="G14" s="236" t="s">
        <v>57</v>
      </c>
      <c r="H14" s="218">
        <v>6.73</v>
      </c>
      <c r="I14" s="221"/>
      <c r="J14" s="484"/>
      <c r="K14" s="247" t="str">
        <f>IF(J13="","",IF(J13=14,"Certo","Errado"))</f>
        <v/>
      </c>
      <c r="L14" s="15"/>
      <c r="M14" s="15"/>
      <c r="N14" s="15"/>
      <c r="O14" s="15"/>
      <c r="P14" s="15"/>
      <c r="Q14" s="15"/>
      <c r="R14" s="15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1.25" customHeight="1" thickBot="1" x14ac:dyDescent="0.3">
      <c r="A15" s="210"/>
      <c r="C15" s="223" t="s">
        <v>26</v>
      </c>
      <c r="D15" s="235">
        <v>6.96</v>
      </c>
      <c r="E15" s="207"/>
      <c r="F15" s="217" t="s">
        <v>28</v>
      </c>
      <c r="G15" s="236" t="s">
        <v>58</v>
      </c>
      <c r="H15" s="218">
        <v>6.96</v>
      </c>
      <c r="I15" s="221"/>
      <c r="J15" s="485"/>
      <c r="K15" s="15"/>
      <c r="L15" s="15"/>
      <c r="M15" s="15"/>
      <c r="N15" s="15"/>
      <c r="O15" s="15"/>
      <c r="P15" s="15"/>
      <c r="Q15" s="15"/>
      <c r="R15" s="15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1.25" customHeight="1" x14ac:dyDescent="0.25">
      <c r="A16" s="210"/>
      <c r="C16" s="223" t="s">
        <v>28</v>
      </c>
      <c r="D16" s="235">
        <v>7.04</v>
      </c>
      <c r="E16" s="207"/>
      <c r="F16" s="217" t="s">
        <v>20</v>
      </c>
      <c r="G16" s="236" t="s">
        <v>59</v>
      </c>
      <c r="H16" s="218">
        <v>7.04</v>
      </c>
      <c r="I16" s="2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30" ht="11.25" customHeight="1" thickBot="1" x14ac:dyDescent="0.3">
      <c r="A17" s="210"/>
      <c r="C17" s="223" t="s">
        <v>33</v>
      </c>
      <c r="D17" s="235">
        <v>7.44</v>
      </c>
      <c r="E17" s="207"/>
      <c r="F17" s="217" t="s">
        <v>29</v>
      </c>
      <c r="G17" s="237" t="s">
        <v>60</v>
      </c>
      <c r="H17" s="232">
        <v>7.44</v>
      </c>
      <c r="I17" s="233"/>
      <c r="J17" s="16"/>
      <c r="K17" s="16"/>
      <c r="L17" s="16"/>
      <c r="M17" s="16"/>
      <c r="N17" s="16"/>
      <c r="O17" s="16"/>
      <c r="P17" s="16"/>
      <c r="Q17" s="16"/>
      <c r="R17" s="16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30" ht="14.25" customHeight="1" thickBot="1" x14ac:dyDescent="0.3">
      <c r="A18" s="210"/>
      <c r="C18" s="223" t="s">
        <v>29</v>
      </c>
      <c r="D18" s="235">
        <v>7.56</v>
      </c>
      <c r="E18" s="207"/>
      <c r="F18" s="229" t="s">
        <v>41</v>
      </c>
      <c r="G18" s="238" t="s">
        <v>61</v>
      </c>
      <c r="H18" s="230">
        <v>7.56</v>
      </c>
      <c r="I18" s="231"/>
      <c r="J18" s="16"/>
      <c r="K18" s="16"/>
      <c r="L18" s="16"/>
      <c r="M18" s="16"/>
      <c r="N18" s="16"/>
      <c r="O18" s="16"/>
      <c r="P18" s="16"/>
      <c r="Q18" s="16"/>
      <c r="R18" s="16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30" ht="11.25" customHeight="1" x14ac:dyDescent="0.25">
      <c r="A19" s="210"/>
      <c r="C19" s="223" t="s">
        <v>18</v>
      </c>
      <c r="D19" s="235">
        <v>8.0500000000000007</v>
      </c>
      <c r="E19" s="207"/>
      <c r="F19" s="219" t="s">
        <v>27</v>
      </c>
      <c r="G19" s="239" t="s">
        <v>62</v>
      </c>
      <c r="H19" s="220">
        <v>8.0500000000000007</v>
      </c>
      <c r="I19" s="222"/>
      <c r="J19" s="10" t="s">
        <v>76</v>
      </c>
      <c r="K19" s="20"/>
      <c r="L19" s="20"/>
      <c r="M19" s="20"/>
      <c r="N19" s="20"/>
      <c r="O19" s="20"/>
      <c r="P19" s="20"/>
      <c r="Q19" s="20"/>
      <c r="R19" s="20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30" ht="11.25" customHeight="1" thickBot="1" x14ac:dyDescent="0.3">
      <c r="A20" s="210"/>
      <c r="C20" s="223" t="s">
        <v>24</v>
      </c>
      <c r="D20" s="235">
        <v>9.67</v>
      </c>
      <c r="E20" s="207"/>
      <c r="F20" s="219" t="s">
        <v>25</v>
      </c>
      <c r="G20" s="239" t="s">
        <v>63</v>
      </c>
      <c r="H20" s="220">
        <v>9.67</v>
      </c>
      <c r="I20" s="222"/>
      <c r="J20" s="206"/>
      <c r="K20" s="21"/>
      <c r="L20" s="21"/>
      <c r="M20" s="21"/>
      <c r="N20" s="21"/>
      <c r="O20" s="21"/>
      <c r="P20" s="21"/>
      <c r="Q20" s="21"/>
      <c r="R20" s="21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0" ht="11.25" customHeight="1" x14ac:dyDescent="0.25">
      <c r="A21" s="210"/>
      <c r="C21" s="223" t="s">
        <v>42</v>
      </c>
      <c r="D21" s="235">
        <v>10.36</v>
      </c>
      <c r="E21" s="207"/>
      <c r="F21" s="219" t="s">
        <v>44</v>
      </c>
      <c r="G21" s="239" t="s">
        <v>64</v>
      </c>
      <c r="H21" s="220">
        <v>10.36</v>
      </c>
      <c r="I21" s="222"/>
      <c r="J21" s="483"/>
      <c r="K21" s="17"/>
      <c r="L21" s="17"/>
      <c r="M21" s="17"/>
      <c r="N21" s="17"/>
      <c r="O21" s="17"/>
      <c r="P21" s="17"/>
      <c r="Q21" s="17"/>
      <c r="R21" s="17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0" ht="11.25" customHeight="1" x14ac:dyDescent="0.25">
      <c r="A22" s="210"/>
      <c r="C22" s="223" t="s">
        <v>40</v>
      </c>
      <c r="D22" s="235">
        <v>10.45</v>
      </c>
      <c r="E22" s="207"/>
      <c r="F22" s="219" t="s">
        <v>35</v>
      </c>
      <c r="G22" s="239" t="s">
        <v>65</v>
      </c>
      <c r="H22" s="220">
        <v>10.45</v>
      </c>
      <c r="I22" s="222"/>
      <c r="J22" s="484"/>
      <c r="K22" s="25" t="str">
        <f>IF(J21="","",IF(J21=H18,"Certo","Errado"))</f>
        <v/>
      </c>
      <c r="L22" s="17"/>
      <c r="M22" s="17"/>
      <c r="N22" s="17"/>
      <c r="O22" s="17"/>
      <c r="P22" s="17"/>
      <c r="Q22" s="17"/>
      <c r="R22" s="17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0" ht="11.25" customHeight="1" thickBot="1" x14ac:dyDescent="0.3">
      <c r="A23" s="210"/>
      <c r="C23" s="223" t="s">
        <v>34</v>
      </c>
      <c r="D23" s="235">
        <v>10.62</v>
      </c>
      <c r="E23" s="207"/>
      <c r="F23" s="219" t="s">
        <v>30</v>
      </c>
      <c r="G23" s="239" t="s">
        <v>66</v>
      </c>
      <c r="H23" s="220">
        <v>10.62</v>
      </c>
      <c r="I23" s="222"/>
      <c r="J23" s="485"/>
      <c r="K23" s="17"/>
      <c r="L23" s="17"/>
      <c r="M23" s="17"/>
      <c r="N23" s="17"/>
      <c r="O23" s="17"/>
      <c r="P23" s="17"/>
      <c r="Q23" s="17"/>
      <c r="R23" s="17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0" ht="11.25" customHeight="1" x14ac:dyDescent="0.25">
      <c r="A24" s="210"/>
      <c r="C24" s="223" t="s">
        <v>39</v>
      </c>
      <c r="D24" s="235">
        <v>10.77</v>
      </c>
      <c r="E24" s="207"/>
      <c r="F24" s="219" t="s">
        <v>43</v>
      </c>
      <c r="G24" s="239" t="s">
        <v>67</v>
      </c>
      <c r="H24" s="220">
        <v>10.77</v>
      </c>
      <c r="I24" s="222"/>
      <c r="K24" s="18"/>
      <c r="L24" s="18"/>
      <c r="M24" s="22"/>
      <c r="N24" s="22"/>
      <c r="O24" s="22"/>
      <c r="P24" s="22"/>
      <c r="Q24" s="22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0" ht="11.25" customHeight="1" thickBot="1" x14ac:dyDescent="0.3">
      <c r="A25" s="210"/>
      <c r="C25" s="223" t="s">
        <v>38</v>
      </c>
      <c r="D25" s="235">
        <v>11.1</v>
      </c>
      <c r="E25" s="207"/>
      <c r="F25" s="219" t="s">
        <v>39</v>
      </c>
      <c r="G25" s="239" t="s">
        <v>68</v>
      </c>
      <c r="H25" s="220">
        <v>11.1</v>
      </c>
      <c r="I25" s="222"/>
      <c r="J25" s="176" t="s">
        <v>77</v>
      </c>
      <c r="K25" s="19"/>
      <c r="L25" s="19"/>
      <c r="M25" s="19"/>
      <c r="N25" s="19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11.25" customHeight="1" x14ac:dyDescent="0.25">
      <c r="A26" s="210"/>
      <c r="C26" s="223" t="s">
        <v>37</v>
      </c>
      <c r="D26" s="235">
        <v>12.13</v>
      </c>
      <c r="E26" s="207"/>
      <c r="F26" s="219" t="s">
        <v>33</v>
      </c>
      <c r="G26" s="239" t="s">
        <v>69</v>
      </c>
      <c r="H26" s="220">
        <v>12.13</v>
      </c>
      <c r="I26" s="222"/>
      <c r="J26" s="472"/>
      <c r="K26" s="473"/>
      <c r="L26" s="473"/>
      <c r="M26" s="473"/>
      <c r="N26" s="474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11.25" customHeight="1" x14ac:dyDescent="0.25">
      <c r="A27" s="210"/>
      <c r="C27" s="223" t="s">
        <v>35</v>
      </c>
      <c r="D27" s="235">
        <v>12.73</v>
      </c>
      <c r="E27" s="207"/>
      <c r="F27" s="219" t="s">
        <v>40</v>
      </c>
      <c r="G27" s="239" t="s">
        <v>70</v>
      </c>
      <c r="H27" s="220">
        <v>12.73</v>
      </c>
      <c r="I27" s="222"/>
      <c r="J27" s="475"/>
      <c r="K27" s="476"/>
      <c r="L27" s="476"/>
      <c r="M27" s="476"/>
      <c r="N27" s="477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ht="11.25" customHeight="1" x14ac:dyDescent="0.25">
      <c r="A28" s="210"/>
      <c r="C28" s="223" t="s">
        <v>43</v>
      </c>
      <c r="D28" s="235">
        <v>13.01</v>
      </c>
      <c r="E28" s="207"/>
      <c r="F28" s="219" t="s">
        <v>38</v>
      </c>
      <c r="G28" s="239" t="s">
        <v>71</v>
      </c>
      <c r="H28" s="220">
        <v>13.01</v>
      </c>
      <c r="I28" s="222"/>
      <c r="J28" s="475"/>
      <c r="K28" s="476"/>
      <c r="L28" s="476"/>
      <c r="M28" s="476"/>
      <c r="N28" s="477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ht="11.25" customHeight="1" x14ac:dyDescent="0.25">
      <c r="A29" s="210"/>
      <c r="C29" s="223" t="s">
        <v>44</v>
      </c>
      <c r="D29" s="235">
        <v>13.08</v>
      </c>
      <c r="E29" s="207"/>
      <c r="F29" s="219" t="s">
        <v>36</v>
      </c>
      <c r="G29" s="239" t="s">
        <v>72</v>
      </c>
      <c r="H29" s="220">
        <v>13.08</v>
      </c>
      <c r="I29" s="222"/>
      <c r="J29" s="475"/>
      <c r="K29" s="476"/>
      <c r="L29" s="476"/>
      <c r="M29" s="476"/>
      <c r="N29" s="477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ht="11.25" customHeight="1" x14ac:dyDescent="0.25">
      <c r="A30" s="210"/>
      <c r="C30" s="223" t="s">
        <v>41</v>
      </c>
      <c r="D30" s="235">
        <v>14.06</v>
      </c>
      <c r="E30" s="207"/>
      <c r="F30" s="219" t="s">
        <v>34</v>
      </c>
      <c r="G30" s="239" t="s">
        <v>73</v>
      </c>
      <c r="H30" s="220">
        <v>14.06</v>
      </c>
      <c r="I30" s="222"/>
      <c r="J30" s="475"/>
      <c r="K30" s="476"/>
      <c r="L30" s="476"/>
      <c r="M30" s="476"/>
      <c r="N30" s="477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ht="11.25" customHeight="1" thickBot="1" x14ac:dyDescent="0.3">
      <c r="A31" s="210"/>
      <c r="C31" s="244" t="s">
        <v>36</v>
      </c>
      <c r="D31" s="245">
        <v>15.09</v>
      </c>
      <c r="E31" s="207"/>
      <c r="F31" s="240" t="s">
        <v>37</v>
      </c>
      <c r="G31" s="241" t="s">
        <v>74</v>
      </c>
      <c r="H31" s="242">
        <v>15.09</v>
      </c>
      <c r="I31" s="243"/>
      <c r="J31" s="475"/>
      <c r="K31" s="476"/>
      <c r="L31" s="476"/>
      <c r="M31" s="476"/>
      <c r="N31" s="477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ht="15" customHeight="1" thickBot="1" x14ac:dyDescent="0.3">
      <c r="A32" s="210"/>
      <c r="C32" s="67" t="s">
        <v>83</v>
      </c>
      <c r="D32" s="128"/>
      <c r="E32" s="22"/>
      <c r="F32" s="22"/>
      <c r="G32" s="22"/>
      <c r="H32" s="23"/>
      <c r="I32" s="209"/>
      <c r="J32" s="478"/>
      <c r="K32" s="479"/>
      <c r="L32" s="479"/>
      <c r="M32" s="479"/>
      <c r="N32" s="480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ht="15" customHeight="1" x14ac:dyDescent="0.25">
      <c r="A33" s="210"/>
      <c r="C33" s="67" t="s">
        <v>84</v>
      </c>
      <c r="D33" s="128"/>
      <c r="E33" s="22"/>
      <c r="F33" s="22"/>
      <c r="G33" s="22"/>
      <c r="H33" s="23"/>
      <c r="I33" s="24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ht="15" customHeight="1" x14ac:dyDescent="0.2">
      <c r="A34" s="210"/>
      <c r="C34" s="22"/>
      <c r="D34" s="22"/>
      <c r="E34" s="22"/>
      <c r="F34" s="22"/>
      <c r="G34" s="22"/>
      <c r="H34" s="23"/>
      <c r="I34" s="24"/>
      <c r="J34" s="246"/>
      <c r="K34" s="246"/>
      <c r="L34" s="246"/>
      <c r="M34" s="246"/>
      <c r="N34" s="246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ht="12.75" customHeight="1" x14ac:dyDescent="0.2">
      <c r="C35" s="22"/>
      <c r="D35" s="22"/>
      <c r="E35" s="22"/>
      <c r="F35" s="22"/>
      <c r="G35" s="22"/>
      <c r="H35" s="23"/>
      <c r="I35" s="24"/>
      <c r="J35" s="246"/>
      <c r="K35" s="246"/>
      <c r="L35" s="246"/>
      <c r="M35" s="246"/>
      <c r="N35" s="246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">
      <c r="C36" s="22"/>
      <c r="D36" s="22"/>
      <c r="E36" s="22"/>
      <c r="F36" s="22"/>
      <c r="G36" s="22"/>
      <c r="H36" s="23"/>
      <c r="I36" s="24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">
      <c r="C37" s="22"/>
      <c r="D37" s="22"/>
      <c r="E37" s="22"/>
      <c r="F37" s="22"/>
      <c r="G37" s="22"/>
      <c r="H37" s="23"/>
      <c r="I37" s="24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">
      <c r="C38" s="22"/>
      <c r="D38" s="22"/>
      <c r="E38" s="22"/>
      <c r="F38" s="22"/>
      <c r="G38" s="22"/>
      <c r="H38" s="23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">
      <c r="C39" s="22"/>
      <c r="D39" s="22"/>
      <c r="E39" s="22"/>
      <c r="F39" s="22"/>
      <c r="G39" s="22"/>
      <c r="H39" s="23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">
      <c r="C40" s="22"/>
      <c r="D40" s="22"/>
      <c r="E40" s="22"/>
      <c r="F40" s="22"/>
      <c r="G40" s="22"/>
      <c r="H40" s="23"/>
      <c r="I40" s="24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30" x14ac:dyDescent="0.2">
      <c r="C41" s="22"/>
      <c r="D41" s="22"/>
      <c r="E41" s="22"/>
      <c r="F41" s="22"/>
      <c r="G41" s="22"/>
      <c r="H41" s="23"/>
      <c r="I41" s="24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30" x14ac:dyDescent="0.2">
      <c r="C42" s="22"/>
      <c r="D42" s="22"/>
      <c r="E42" s="22"/>
      <c r="F42" s="22"/>
      <c r="G42" s="22"/>
      <c r="H42" s="23"/>
      <c r="I42" s="24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30" x14ac:dyDescent="0.2">
      <c r="C43" s="22"/>
      <c r="D43" s="22"/>
      <c r="E43" s="22"/>
      <c r="F43" s="22"/>
      <c r="G43" s="22"/>
      <c r="H43" s="23"/>
      <c r="I43" s="24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30" x14ac:dyDescent="0.2">
      <c r="C44" s="22"/>
      <c r="D44" s="22"/>
      <c r="E44" s="22"/>
      <c r="F44" s="22"/>
      <c r="G44" s="22"/>
      <c r="H44" s="23"/>
      <c r="I44" s="24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30" x14ac:dyDescent="0.2">
      <c r="C45" s="22"/>
      <c r="D45" s="22"/>
      <c r="E45" s="22"/>
      <c r="F45" s="22"/>
      <c r="G45" s="22"/>
      <c r="H45" s="23"/>
      <c r="I45" s="24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30" x14ac:dyDescent="0.2">
      <c r="C46" s="22"/>
      <c r="D46" s="22"/>
      <c r="E46" s="22"/>
      <c r="F46" s="22"/>
      <c r="G46" s="22"/>
      <c r="H46" s="23"/>
      <c r="I46" s="24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30" x14ac:dyDescent="0.2">
      <c r="C47" s="22"/>
      <c r="D47" s="22"/>
      <c r="E47" s="22"/>
      <c r="F47" s="22"/>
      <c r="G47" s="22"/>
      <c r="H47" s="23"/>
      <c r="I47" s="24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30" x14ac:dyDescent="0.2">
      <c r="C48" s="22"/>
      <c r="D48" s="22"/>
      <c r="E48" s="22"/>
      <c r="F48" s="22"/>
      <c r="G48" s="22"/>
      <c r="H48" s="23"/>
      <c r="I48" s="24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3:19" x14ac:dyDescent="0.2">
      <c r="C49" s="22"/>
      <c r="D49" s="22"/>
      <c r="E49" s="22"/>
      <c r="F49" s="22"/>
      <c r="G49" s="22"/>
      <c r="H49" s="23"/>
      <c r="I49" s="24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3:19" x14ac:dyDescent="0.2">
      <c r="C50" s="22"/>
      <c r="D50" s="22"/>
      <c r="E50" s="22"/>
      <c r="F50" s="22"/>
      <c r="G50" s="22"/>
      <c r="H50" s="23"/>
      <c r="I50" s="24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3:19" x14ac:dyDescent="0.2">
      <c r="C51" s="22"/>
      <c r="D51" s="22"/>
      <c r="E51" s="22"/>
      <c r="F51" s="22"/>
      <c r="G51" s="22"/>
      <c r="H51" s="23"/>
      <c r="I51" s="24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3:19" x14ac:dyDescent="0.2">
      <c r="C52" s="22"/>
      <c r="D52" s="22"/>
      <c r="E52" s="22"/>
      <c r="F52" s="22"/>
      <c r="G52" s="22"/>
      <c r="H52" s="23"/>
      <c r="I52" s="24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3:19" x14ac:dyDescent="0.2">
      <c r="C53" s="22"/>
      <c r="D53" s="22"/>
      <c r="E53" s="22"/>
      <c r="F53" s="22"/>
      <c r="G53" s="22"/>
      <c r="H53" s="23"/>
      <c r="I53" s="24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3:19" x14ac:dyDescent="0.2">
      <c r="C54" s="22"/>
      <c r="D54" s="22"/>
      <c r="E54" s="22"/>
      <c r="F54" s="22"/>
      <c r="G54" s="22"/>
      <c r="H54" s="23"/>
      <c r="I54" s="24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3:19" x14ac:dyDescent="0.2">
      <c r="C55" s="22"/>
      <c r="D55" s="22"/>
      <c r="E55" s="22"/>
      <c r="F55" s="22"/>
      <c r="G55" s="22"/>
      <c r="H55" s="23"/>
      <c r="I55" s="24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3:19" x14ac:dyDescent="0.2">
      <c r="C56" s="22"/>
      <c r="D56" s="22"/>
      <c r="E56" s="22"/>
      <c r="F56" s="22"/>
      <c r="G56" s="22"/>
      <c r="H56" s="23"/>
      <c r="I56" s="24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3:19" x14ac:dyDescent="0.2">
      <c r="C57" s="22"/>
      <c r="D57" s="22"/>
      <c r="E57" s="22"/>
      <c r="F57" s="22"/>
      <c r="G57" s="22"/>
      <c r="H57" s="23"/>
      <c r="I57" s="24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3:19" x14ac:dyDescent="0.2">
      <c r="C58" s="22"/>
      <c r="D58" s="22"/>
      <c r="E58" s="22"/>
      <c r="F58" s="22"/>
      <c r="G58" s="22"/>
      <c r="H58" s="23"/>
      <c r="I58" s="24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3:19" x14ac:dyDescent="0.2">
      <c r="C59" s="22"/>
      <c r="D59" s="22"/>
      <c r="E59" s="22"/>
      <c r="F59" s="22"/>
      <c r="G59" s="22"/>
      <c r="H59" s="23"/>
      <c r="I59" s="24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3:19" x14ac:dyDescent="0.2">
      <c r="C60" s="22"/>
      <c r="D60" s="22"/>
      <c r="E60" s="22"/>
      <c r="F60" s="22"/>
      <c r="G60" s="22"/>
      <c r="H60" s="23"/>
      <c r="I60" s="24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3:19" x14ac:dyDescent="0.2">
      <c r="C61" s="22"/>
      <c r="D61" s="22"/>
      <c r="E61" s="22"/>
      <c r="F61" s="22"/>
      <c r="G61" s="22"/>
      <c r="H61" s="23"/>
      <c r="I61" s="24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3:19" x14ac:dyDescent="0.2">
      <c r="C62" s="22"/>
      <c r="D62" s="22"/>
      <c r="E62" s="22"/>
      <c r="F62" s="22"/>
      <c r="G62" s="22"/>
      <c r="H62" s="23"/>
      <c r="I62" s="24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3:19" x14ac:dyDescent="0.2">
      <c r="C63" s="22"/>
      <c r="D63" s="22"/>
      <c r="E63" s="22"/>
      <c r="F63" s="22"/>
      <c r="G63" s="22"/>
      <c r="H63" s="23"/>
      <c r="I63" s="24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3:19" x14ac:dyDescent="0.2">
      <c r="C64" s="22"/>
      <c r="D64" s="22"/>
      <c r="E64" s="22"/>
      <c r="F64" s="22"/>
      <c r="G64" s="22"/>
      <c r="H64" s="23"/>
      <c r="I64" s="24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3:19" x14ac:dyDescent="0.2">
      <c r="C65" s="22"/>
      <c r="D65" s="22"/>
      <c r="E65" s="22"/>
      <c r="F65" s="22"/>
      <c r="G65" s="22"/>
      <c r="H65" s="23"/>
      <c r="I65" s="24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3:19" x14ac:dyDescent="0.2">
      <c r="C66" s="22"/>
      <c r="D66" s="22"/>
      <c r="E66" s="22"/>
      <c r="F66" s="22"/>
      <c r="G66" s="22"/>
      <c r="H66" s="23"/>
      <c r="I66" s="24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3:19" x14ac:dyDescent="0.2">
      <c r="C67" s="22"/>
      <c r="D67" s="22"/>
      <c r="E67" s="22"/>
      <c r="F67" s="22"/>
      <c r="G67" s="22"/>
      <c r="H67" s="23"/>
      <c r="I67" s="24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3:19" x14ac:dyDescent="0.2">
      <c r="C68" s="22"/>
      <c r="D68" s="22"/>
      <c r="E68" s="22"/>
      <c r="F68" s="22"/>
      <c r="G68" s="22"/>
      <c r="H68" s="23"/>
      <c r="I68" s="24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3:19" x14ac:dyDescent="0.2">
      <c r="C69" s="22"/>
      <c r="D69" s="22"/>
      <c r="E69" s="22"/>
      <c r="F69" s="22"/>
      <c r="G69" s="22"/>
      <c r="H69" s="23"/>
      <c r="I69" s="24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3:19" x14ac:dyDescent="0.2">
      <c r="C70" s="22"/>
      <c r="D70" s="22"/>
      <c r="E70" s="22"/>
      <c r="F70" s="22"/>
      <c r="G70" s="22"/>
      <c r="H70" s="23"/>
      <c r="I70" s="24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3:19" x14ac:dyDescent="0.2">
      <c r="C71" s="22"/>
      <c r="D71" s="22"/>
      <c r="E71" s="22"/>
      <c r="F71" s="22"/>
      <c r="G71" s="22"/>
      <c r="H71" s="23"/>
      <c r="I71" s="24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3:19" x14ac:dyDescent="0.2">
      <c r="J72" s="22"/>
      <c r="K72" s="22"/>
      <c r="L72" s="22"/>
      <c r="M72" s="22"/>
      <c r="N72" s="22"/>
      <c r="O72" s="22"/>
      <c r="P72" s="22"/>
      <c r="Q72" s="22"/>
      <c r="R72" s="22"/>
      <c r="S72" s="22"/>
    </row>
  </sheetData>
  <mergeCells count="5">
    <mergeCell ref="J26:N32"/>
    <mergeCell ref="C3:D3"/>
    <mergeCell ref="F3:H3"/>
    <mergeCell ref="J13:J15"/>
    <mergeCell ref="J21:J23"/>
  </mergeCells>
  <hyperlinks>
    <hyperlink ref="C33" r:id="rId1" display="http://tabnet.datasus.gov.br/cgi/tabcgi.exe?idb2010/e15.def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CB8A-61B7-4BFC-A9BB-1725A4792FF9}">
  <dimension ref="A1:DB86"/>
  <sheetViews>
    <sheetView topLeftCell="J1" workbookViewId="0">
      <selection activeCell="AV11" sqref="AV11"/>
    </sheetView>
  </sheetViews>
  <sheetFormatPr defaultColWidth="6.28515625" defaultRowHeight="15" x14ac:dyDescent="0.25"/>
  <cols>
    <col min="1" max="3" width="0.7109375" style="87" customWidth="1"/>
    <col min="4" max="4" width="1.7109375" style="1" customWidth="1"/>
    <col min="5" max="6" width="5.28515625" style="87" customWidth="1"/>
    <col min="7" max="7" width="2.85546875" style="87" customWidth="1"/>
    <col min="8" max="8" width="2.42578125" style="87" customWidth="1"/>
    <col min="9" max="9" width="6.85546875" style="87" customWidth="1"/>
    <col min="10" max="10" width="4.140625" style="87" customWidth="1"/>
    <col min="11" max="11" width="5" style="87" customWidth="1"/>
    <col min="12" max="12" width="4.85546875" style="87" customWidth="1"/>
    <col min="13" max="13" width="6.7109375" style="87" customWidth="1"/>
    <col min="14" max="14" width="2.7109375" style="87" customWidth="1"/>
    <col min="15" max="18" width="3.5703125" style="87" customWidth="1"/>
    <col min="19" max="19" width="5.140625" style="87" customWidth="1"/>
    <col min="20" max="25" width="3.5703125" style="87" customWidth="1"/>
    <col min="26" max="26" width="8.5703125" style="87" customWidth="1"/>
    <col min="27" max="27" width="7.5703125" style="87" customWidth="1"/>
    <col min="28" max="28" width="1.5703125" style="87" customWidth="1"/>
    <col min="29" max="32" width="3.5703125" style="87" customWidth="1"/>
    <col min="33" max="33" width="6.7109375" style="87" customWidth="1"/>
    <col min="34" max="34" width="9.5703125" style="87" customWidth="1"/>
    <col min="35" max="35" width="3.5703125" style="87" customWidth="1"/>
    <col min="36" max="36" width="15" style="87" customWidth="1"/>
    <col min="37" max="37" width="1.5703125" style="87" customWidth="1"/>
    <col min="38" max="38" width="1.28515625" style="87" customWidth="1"/>
    <col min="39" max="39" width="0.7109375" style="87" customWidth="1"/>
    <col min="40" max="40" width="4.42578125" style="87" customWidth="1"/>
    <col min="41" max="41" width="7.140625" style="538" customWidth="1"/>
    <col min="42" max="43" width="6.28515625" style="539"/>
    <col min="44" max="46" width="6.28515625" style="538"/>
    <col min="47" max="16384" width="6.28515625" style="87"/>
  </cols>
  <sheetData>
    <row r="1" spans="1:106" ht="9.75" customHeight="1" x14ac:dyDescent="0.25">
      <c r="D1" s="87"/>
      <c r="AN1" s="1"/>
      <c r="AO1" s="53" t="str">
        <f>IF(AO3&lt;&gt;""," das vendas diárias na semana passada no mini-mercado TEM DE TUDO.")</f>
        <v xml:space="preserve"> das vendas diárias na semana passada no mini-mercado TEM DE TUDO.</v>
      </c>
      <c r="AP1" s="53"/>
      <c r="AQ1" s="53"/>
      <c r="AR1" s="53"/>
      <c r="AS1" s="53"/>
      <c r="AT1" s="53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106" s="1" customFormat="1" ht="2.25" hidden="1" customHeight="1" x14ac:dyDescent="0.25">
      <c r="A2" s="87"/>
      <c r="B2" s="87"/>
      <c r="AL2" s="87"/>
      <c r="AM2" s="87"/>
      <c r="AO2" s="53"/>
      <c r="AP2" s="53"/>
      <c r="AQ2" s="53"/>
      <c r="AR2" s="53"/>
      <c r="AS2" s="53"/>
      <c r="AT2" s="53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</row>
    <row r="3" spans="1:106" ht="2.25" hidden="1" customHeight="1" x14ac:dyDescent="0.25">
      <c r="D3" s="87"/>
      <c r="AN3" s="1"/>
      <c r="AO3" s="53">
        <v>1</v>
      </c>
      <c r="AP3" s="53"/>
      <c r="AQ3" s="53"/>
      <c r="AR3" s="53"/>
      <c r="AS3" s="53"/>
      <c r="AT3" s="53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106" ht="6.75" customHeight="1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N4" s="1"/>
      <c r="AO4" s="53">
        <v>2</v>
      </c>
      <c r="AP4" s="53"/>
      <c r="AQ4" s="53"/>
      <c r="AR4" s="53"/>
      <c r="AS4" s="53"/>
      <c r="AT4" s="53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106" ht="12.75" customHeight="1" x14ac:dyDescent="0.3">
      <c r="E5" s="1"/>
      <c r="F5" s="1"/>
      <c r="G5" s="353"/>
      <c r="H5" s="353"/>
      <c r="I5" s="353"/>
      <c r="J5" s="353"/>
      <c r="K5" s="353"/>
      <c r="L5" s="354" t="str">
        <f>IF(AO3&lt;&gt;"",CONCATENATE("Desvio padrão "),"")</f>
        <v xml:space="preserve">Desvio padrão </v>
      </c>
      <c r="M5" s="355"/>
      <c r="N5" s="356" t="str">
        <f>IF(AN3&lt;&gt;"",CONCATENATE("Desvio padrão "),"")</f>
        <v/>
      </c>
      <c r="O5" s="357"/>
      <c r="P5" s="1"/>
      <c r="Q5" s="1"/>
      <c r="R5" s="1"/>
      <c r="S5" s="358" t="str">
        <f>IF(AQ5="","","Desvio Padrão com funções do Excel:")</f>
        <v/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N5" s="1"/>
      <c r="AO5" s="53">
        <v>3</v>
      </c>
      <c r="AP5" s="53"/>
      <c r="AQ5" s="53"/>
      <c r="AR5" s="53"/>
      <c r="AS5" s="53"/>
      <c r="AT5" s="53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106" ht="29.25" customHeight="1" thickBot="1" x14ac:dyDescent="0.3">
      <c r="E6" s="508" t="str">
        <f>IF(AO4&lt;&gt;"",CONCATENATE(" Ocupação  diária,  de Leitos, na UTI do hospita UDP , na semana  passada."),"")</f>
        <v xml:space="preserve"> Ocupação  diária,  de Leitos, na UTI do hospita UDP , na semana  passada.</v>
      </c>
      <c r="F6" s="508"/>
      <c r="G6" s="508"/>
      <c r="H6" s="508"/>
      <c r="I6" s="508"/>
      <c r="J6" s="508"/>
      <c r="K6" s="508"/>
      <c r="L6" s="508"/>
      <c r="M6" s="508"/>
      <c r="N6" s="43"/>
      <c r="O6" s="1"/>
      <c r="P6" s="1"/>
      <c r="Q6" s="1"/>
      <c r="R6" s="1"/>
      <c r="S6" s="359" t="str">
        <f>IF(AQ6="","","=DESVPADP(J8:M13)")</f>
        <v/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1"/>
      <c r="AO6" s="53">
        <v>4</v>
      </c>
      <c r="AP6" s="53"/>
      <c r="AQ6" s="53"/>
      <c r="AR6" s="53"/>
      <c r="AS6" s="53"/>
      <c r="AT6" s="53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106" ht="15" customHeight="1" x14ac:dyDescent="0.3">
      <c r="C7" s="360"/>
      <c r="E7" s="361" t="str">
        <f>IF(AO5="","","i")</f>
        <v>i</v>
      </c>
      <c r="F7" s="509" t="str">
        <f>IF(E7="","","Dias da semana")</f>
        <v>Dias da semana</v>
      </c>
      <c r="G7" s="510"/>
      <c r="H7" s="510"/>
      <c r="I7" s="511"/>
      <c r="J7" s="512" t="str">
        <f>IF(E7="","","Leitos ocupados por dia")</f>
        <v>Leitos ocupados por dia</v>
      </c>
      <c r="K7" s="510"/>
      <c r="L7" s="510"/>
      <c r="M7" s="510"/>
      <c r="N7" s="1"/>
      <c r="O7" s="1"/>
      <c r="P7" s="1"/>
      <c r="Q7" s="1"/>
      <c r="R7" s="1"/>
      <c r="S7" s="362" t="str">
        <f>IF(AQ7="","",STDEVP(J8:M13))</f>
        <v/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N7" s="1"/>
      <c r="AO7" s="53">
        <v>5</v>
      </c>
      <c r="AP7" s="53"/>
      <c r="AQ7" s="53"/>
      <c r="AR7" s="53"/>
      <c r="AS7" s="53"/>
      <c r="AT7" s="53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106" ht="14.25" customHeight="1" x14ac:dyDescent="0.25">
      <c r="C8" s="360"/>
      <c r="E8" s="363" t="str">
        <f>IF(AO6="","","1")</f>
        <v>1</v>
      </c>
      <c r="F8" s="498" t="str">
        <f>IF(AO6="","","Segunda-feira")</f>
        <v>Segunda-feira</v>
      </c>
      <c r="G8" s="498"/>
      <c r="H8" s="498"/>
      <c r="I8" s="498"/>
      <c r="J8" s="499">
        <f>IF(AO7="","",5)</f>
        <v>5</v>
      </c>
      <c r="K8" s="499"/>
      <c r="L8" s="499"/>
      <c r="M8" s="50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N8" s="1"/>
      <c r="AO8" s="53">
        <v>6</v>
      </c>
      <c r="AP8" s="53"/>
      <c r="AQ8" s="53"/>
      <c r="AR8" s="53"/>
      <c r="AS8" s="53"/>
      <c r="AT8" s="53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106" ht="14.25" customHeight="1" x14ac:dyDescent="0.25">
      <c r="C9" s="360"/>
      <c r="E9" s="363" t="str">
        <f>IF(E8="","","2")</f>
        <v>2</v>
      </c>
      <c r="F9" s="498" t="str">
        <f>IF(AO8="","","Terça-feira")</f>
        <v>Terça-feira</v>
      </c>
      <c r="G9" s="498"/>
      <c r="H9" s="498"/>
      <c r="I9" s="498"/>
      <c r="J9" s="499">
        <f>IF(AO8="","",TRUNC(J8*1.5))</f>
        <v>7</v>
      </c>
      <c r="K9" s="499"/>
      <c r="L9" s="499"/>
      <c r="M9" s="50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N9" s="1"/>
      <c r="AO9" s="53">
        <v>7</v>
      </c>
      <c r="AP9" s="53"/>
      <c r="AQ9" s="53"/>
      <c r="AR9" s="53"/>
      <c r="AS9" s="53"/>
      <c r="AT9" s="53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106" ht="14.25" customHeight="1" x14ac:dyDescent="0.25">
      <c r="C10" s="360"/>
      <c r="E10" s="363" t="str">
        <f>IF(E9="","","3")</f>
        <v>3</v>
      </c>
      <c r="F10" s="498" t="str">
        <f>IF(AO9="","","Quarta-feira")</f>
        <v>Quarta-feira</v>
      </c>
      <c r="G10" s="498"/>
      <c r="H10" s="498"/>
      <c r="I10" s="498"/>
      <c r="J10" s="499">
        <f>IF(F10="","",TRUNC((J8+J9)/2))</f>
        <v>6</v>
      </c>
      <c r="K10" s="499"/>
      <c r="L10" s="499"/>
      <c r="M10" s="50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N10" s="1"/>
      <c r="AO10" s="53">
        <v>8</v>
      </c>
      <c r="AP10" s="53"/>
      <c r="AQ10" s="53"/>
      <c r="AR10" s="53"/>
      <c r="AS10" s="53"/>
      <c r="AT10" s="53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106" ht="14.25" customHeight="1" x14ac:dyDescent="0.25">
      <c r="C11" s="360"/>
      <c r="E11" s="363" t="str">
        <f>IF(E10="","","4")</f>
        <v>4</v>
      </c>
      <c r="F11" s="498" t="str">
        <f>IF(AO10="","","Quinta-feira")</f>
        <v>Quinta-feira</v>
      </c>
      <c r="G11" s="498"/>
      <c r="H11" s="498"/>
      <c r="I11" s="498"/>
      <c r="J11" s="499">
        <f>IF(F11="","",J10+TRUNC(ABS(J8-J9)))</f>
        <v>8</v>
      </c>
      <c r="K11" s="499"/>
      <c r="L11" s="499"/>
      <c r="M11" s="50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N11" s="1"/>
      <c r="AO11" s="53">
        <v>8</v>
      </c>
      <c r="AP11" s="53"/>
      <c r="AQ11" s="53"/>
      <c r="AR11" s="53"/>
      <c r="AS11" s="53"/>
      <c r="AT11" s="53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106" ht="14.25" customHeight="1" x14ac:dyDescent="0.25">
      <c r="C12" s="360"/>
      <c r="E12" s="363" t="str">
        <f>IF(E11="","","5")</f>
        <v>5</v>
      </c>
      <c r="F12" s="498" t="str">
        <f>IF(AO11="","","Sexta-feira")</f>
        <v>Sexta-feira</v>
      </c>
      <c r="G12" s="498"/>
      <c r="H12" s="498"/>
      <c r="I12" s="498"/>
      <c r="J12" s="499">
        <f>IF(F12="","",J8+(J8-MIN(J8:M11)))</f>
        <v>5</v>
      </c>
      <c r="K12" s="499"/>
      <c r="L12" s="499"/>
      <c r="M12" s="50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N12" s="1"/>
      <c r="AO12" s="53">
        <v>8</v>
      </c>
      <c r="AP12" s="53"/>
      <c r="AQ12" s="53"/>
      <c r="AR12" s="53"/>
      <c r="AS12" s="53"/>
      <c r="AT12" s="5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106" ht="14.25" customHeight="1" x14ac:dyDescent="0.25">
      <c r="C13" s="360"/>
      <c r="E13" s="364" t="str">
        <f>IF(AO12="","","6")</f>
        <v>6</v>
      </c>
      <c r="F13" s="498" t="str">
        <f>IF(AO12="","","Sábado")</f>
        <v>Sábado</v>
      </c>
      <c r="G13" s="498"/>
      <c r="H13" s="498"/>
      <c r="I13" s="498"/>
      <c r="J13" s="499">
        <f>IF(AO12="","",J12+ABS(J9-J8))</f>
        <v>7</v>
      </c>
      <c r="K13" s="499"/>
      <c r="L13" s="499"/>
      <c r="M13" s="50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N13" s="1"/>
      <c r="AO13" s="53">
        <v>9</v>
      </c>
      <c r="AP13" s="53"/>
      <c r="AQ13" s="53"/>
      <c r="AR13" s="53"/>
      <c r="AS13" s="53"/>
      <c r="AT13" s="53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106" ht="14.25" customHeight="1" x14ac:dyDescent="0.25">
      <c r="E14" s="501" t="str">
        <f>IF(F13="","","Total ")</f>
        <v xml:space="preserve">Total </v>
      </c>
      <c r="F14" s="502"/>
      <c r="G14" s="502"/>
      <c r="H14" s="502"/>
      <c r="I14" s="502"/>
      <c r="J14" s="503">
        <f>IF(AO13="","",SUM(J8:M13))</f>
        <v>38</v>
      </c>
      <c r="K14" s="503"/>
      <c r="L14" s="503"/>
      <c r="M14" s="50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N14" s="1"/>
      <c r="AO14" s="53">
        <v>9</v>
      </c>
      <c r="AP14" s="53"/>
      <c r="AQ14" s="53"/>
      <c r="AR14" s="53"/>
      <c r="AS14" s="53"/>
      <c r="AT14" s="53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106" ht="17.25" customHeight="1" x14ac:dyDescent="0.35">
      <c r="E15" s="1" t="s">
        <v>188</v>
      </c>
      <c r="F15" s="1"/>
      <c r="G15" s="1"/>
      <c r="H15" s="1"/>
      <c r="I15" s="1"/>
      <c r="J15" s="1"/>
      <c r="K15" s="1"/>
      <c r="L15" s="1"/>
      <c r="N15" s="365" t="str">
        <f>IF(AO13="","","Cálculo do desvio padrão feito manualmente")</f>
        <v>Cálculo do desvio padrão feito manualmente</v>
      </c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AA15" s="1"/>
      <c r="AB15" s="1"/>
      <c r="AC15" s="1"/>
      <c r="AD15" s="1"/>
      <c r="AE15" s="1"/>
      <c r="AF15" s="1"/>
      <c r="AG15" s="1"/>
      <c r="AH15" s="1"/>
      <c r="AI15" s="1"/>
      <c r="AJ15" s="1"/>
      <c r="AN15" s="1"/>
      <c r="AO15" s="53">
        <v>8</v>
      </c>
      <c r="AP15" s="53"/>
      <c r="AQ15" s="53"/>
      <c r="AR15" s="53"/>
      <c r="AS15" s="53"/>
      <c r="AT15" s="53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106" ht="15.75" x14ac:dyDescent="0.25">
      <c r="E16" s="1" t="str">
        <f>IF(J14="","","Nº de dias considerados :")</f>
        <v>Nº de dias considerados :</v>
      </c>
      <c r="F16" s="174"/>
      <c r="G16" s="174"/>
      <c r="H16" s="174"/>
      <c r="I16" s="174"/>
      <c r="J16" s="528" t="str">
        <f>IF(AO13="","",E13)</f>
        <v>6</v>
      </c>
      <c r="K16" s="174"/>
      <c r="L16" s="174"/>
      <c r="M16" s="174"/>
      <c r="N16" s="17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N16" s="1"/>
      <c r="AO16" s="53">
        <v>9</v>
      </c>
      <c r="AP16" s="53"/>
      <c r="AQ16" s="53"/>
      <c r="AR16" s="53"/>
      <c r="AS16" s="53"/>
      <c r="AT16" s="53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98" ht="12" customHeight="1" x14ac:dyDescent="0.25">
      <c r="E17" s="174" t="str">
        <f>IF(AO14="","","Total: ")</f>
        <v xml:space="preserve">Total: </v>
      </c>
      <c r="F17" s="174"/>
      <c r="G17" s="174"/>
      <c r="H17" s="174"/>
      <c r="I17" s="529">
        <f>IF(AO14="","",J14)</f>
        <v>38</v>
      </c>
      <c r="J17" s="529"/>
      <c r="K17" s="174" t="str">
        <f>IF(E17="","","ocuparam UTI.")</f>
        <v>ocuparam UTI.</v>
      </c>
      <c r="L17" s="367"/>
      <c r="M17" s="174"/>
      <c r="N17" s="369"/>
      <c r="O17" s="368" t="str">
        <f>IF(I17&lt;&gt;"","","fi = ")</f>
        <v/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N17" s="1"/>
      <c r="AO17" s="53">
        <v>10</v>
      </c>
      <c r="AP17" s="53"/>
      <c r="AQ17" s="53"/>
      <c r="AR17" s="53"/>
      <c r="AS17" s="53"/>
      <c r="AT17" s="53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98" ht="15.75" customHeight="1" x14ac:dyDescent="0.25">
      <c r="E18" s="505" t="str">
        <f>IF(AO15="","","1)Média  aritmética")</f>
        <v>1)Média  aritmética</v>
      </c>
      <c r="F18" s="505"/>
      <c r="G18" s="505"/>
      <c r="H18" s="505"/>
      <c r="I18" s="505"/>
      <c r="J18" s="370" t="str">
        <f>IF(E18="","","S")</f>
        <v>S</v>
      </c>
      <c r="K18" s="371" t="str">
        <f>IF(E18="","","fi")</f>
        <v>fi</v>
      </c>
      <c r="L18" s="506" t="str">
        <f>IF(AO14="","","=")</f>
        <v>=</v>
      </c>
      <c r="M18" s="507">
        <f>IF(AO16="","",J14)</f>
        <v>38</v>
      </c>
      <c r="N18" s="507"/>
      <c r="O18" s="493" t="str">
        <f>IF(AO14="","","=")</f>
        <v>=</v>
      </c>
      <c r="P18" s="494">
        <f>IF(AO17="","",ROUND(J14/M19,1))</f>
        <v>6.3</v>
      </c>
      <c r="Q18" s="494"/>
      <c r="R18" s="494"/>
      <c r="S18" s="495" t="str">
        <f>IF(P18="","","Leitos")</f>
        <v>Leitos</v>
      </c>
      <c r="T18" s="495"/>
      <c r="U18" s="495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N18" s="1"/>
      <c r="AO18" s="53">
        <v>7</v>
      </c>
      <c r="AP18" s="53"/>
      <c r="AQ18" s="53"/>
      <c r="AR18" s="53"/>
      <c r="AS18" s="53"/>
      <c r="AT18" s="53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98" ht="15.75" customHeight="1" x14ac:dyDescent="0.25">
      <c r="E19" s="505"/>
      <c r="F19" s="505"/>
      <c r="G19" s="505"/>
      <c r="H19" s="505"/>
      <c r="I19" s="505"/>
      <c r="J19" s="496" t="str">
        <f>IF(E18="","","n")</f>
        <v>n</v>
      </c>
      <c r="K19" s="496"/>
      <c r="L19" s="506"/>
      <c r="M19" s="496" t="str">
        <f>IF(AO16="","",J16)</f>
        <v>6</v>
      </c>
      <c r="N19" s="496"/>
      <c r="O19" s="493"/>
      <c r="P19" s="494"/>
      <c r="Q19" s="494"/>
      <c r="R19" s="494"/>
      <c r="S19" s="495"/>
      <c r="T19" s="495"/>
      <c r="U19" s="495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N19" s="1"/>
      <c r="AO19" s="53">
        <v>7</v>
      </c>
      <c r="AP19" s="53"/>
      <c r="AQ19" s="53"/>
      <c r="AR19" s="53"/>
      <c r="AS19" s="53"/>
      <c r="AT19" s="53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98" ht="27.75" customHeight="1" x14ac:dyDescent="0.25">
      <c r="E20" s="497" t="str">
        <f>IF(AO18="","",CONCATENATE("2) Desvios (di) das ocupações diárias com relação à média de  ",P18," ,  elevado ao quadrado"))</f>
        <v>2) Desvios (di) das ocupações diárias com relação à média de  6,3 ,  elevado ao quadrado</v>
      </c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N20" s="1"/>
      <c r="AO20" s="53">
        <v>7</v>
      </c>
      <c r="AP20" s="53"/>
      <c r="AQ20" s="53"/>
      <c r="AR20" s="53"/>
      <c r="AS20" s="53"/>
      <c r="AT20" s="53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98" ht="15.75" x14ac:dyDescent="0.25">
      <c r="E21" s="174" t="str">
        <f>IF(AO19="","","d1=(")</f>
        <v>d1=(</v>
      </c>
      <c r="F21" s="372">
        <f>IF(AO20="","",J8)</f>
        <v>5</v>
      </c>
      <c r="G21" s="373" t="str">
        <f>IF(AO20="","","-")</f>
        <v>-</v>
      </c>
      <c r="H21" s="489">
        <f>IF(E21="","",P$18)</f>
        <v>6.3</v>
      </c>
      <c r="I21" s="489"/>
      <c r="J21" s="174" t="str">
        <f>IF(E21="","",")² = ")</f>
        <v xml:space="preserve">)² = </v>
      </c>
      <c r="K21" s="490" t="str">
        <f t="shared" ref="K21:K26" si="0">IF(AO21="","",CONCATENATE("(",F21-H21,")²  =   "))</f>
        <v xml:space="preserve">(-1,3)²  =   </v>
      </c>
      <c r="L21" s="490"/>
      <c r="M21" s="490"/>
      <c r="N21" s="490"/>
      <c r="O21" s="491">
        <f t="shared" ref="O21:O26" si="1">IF(AO21="","",(F21-H21)^2)</f>
        <v>1.6899999999999995</v>
      </c>
      <c r="P21" s="491"/>
      <c r="Q21" s="49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N21" s="1"/>
      <c r="AO21" s="53">
        <v>7</v>
      </c>
      <c r="AP21" s="53"/>
      <c r="AQ21" s="53"/>
      <c r="AR21" s="53"/>
      <c r="AS21" s="53"/>
      <c r="AT21" s="53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98" ht="15.75" x14ac:dyDescent="0.25">
      <c r="E22" s="174" t="str">
        <f>IF(AO22="","","d2=(")</f>
        <v>d2=(</v>
      </c>
      <c r="F22" s="372">
        <f>IF(AO22="","",J9)</f>
        <v>7</v>
      </c>
      <c r="G22" s="373" t="str">
        <f>IF(AO22="","","-")</f>
        <v>-</v>
      </c>
      <c r="H22" s="489">
        <f t="shared" ref="H22" si="2">IF(E22="","",P$18)</f>
        <v>6.3</v>
      </c>
      <c r="I22" s="489"/>
      <c r="J22" s="174" t="str">
        <f t="shared" ref="J22:J26" si="3">IF(E22="","",")² = ")</f>
        <v xml:space="preserve">)² = </v>
      </c>
      <c r="K22" s="490" t="str">
        <f t="shared" si="0"/>
        <v xml:space="preserve">(0,7)²  =   </v>
      </c>
      <c r="L22" s="490"/>
      <c r="M22" s="490"/>
      <c r="N22" s="490"/>
      <c r="O22" s="491">
        <f t="shared" si="1"/>
        <v>0.49000000000000027</v>
      </c>
      <c r="P22" s="491"/>
      <c r="Q22" s="49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N22" s="1"/>
      <c r="AO22" s="53">
        <v>7</v>
      </c>
      <c r="AP22" s="53"/>
      <c r="AQ22" s="53"/>
      <c r="AR22" s="53"/>
      <c r="AS22" s="53"/>
      <c r="AT22" s="53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98" ht="15.75" x14ac:dyDescent="0.25">
      <c r="E23" s="174" t="str">
        <f>IF(AO23="","","d3=(")</f>
        <v>d3=(</v>
      </c>
      <c r="F23" s="372">
        <f>IF(AO23="","",J10)</f>
        <v>6</v>
      </c>
      <c r="G23" s="373" t="str">
        <f>IF(AO23="","","-")</f>
        <v>-</v>
      </c>
      <c r="H23" s="489">
        <f>IF(AO23="","",P$18)</f>
        <v>6.3</v>
      </c>
      <c r="I23" s="489"/>
      <c r="J23" s="174" t="str">
        <f t="shared" si="3"/>
        <v xml:space="preserve">)² = </v>
      </c>
      <c r="K23" s="490" t="str">
        <f t="shared" si="0"/>
        <v xml:space="preserve">(-0,3)²  =   </v>
      </c>
      <c r="L23" s="490"/>
      <c r="M23" s="490"/>
      <c r="N23" s="490"/>
      <c r="O23" s="491">
        <f t="shared" si="1"/>
        <v>8.99999999999999E-2</v>
      </c>
      <c r="P23" s="491"/>
      <c r="Q23" s="49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N23" s="1"/>
      <c r="AO23" s="53">
        <v>1</v>
      </c>
      <c r="AP23" s="53"/>
      <c r="AQ23" s="53"/>
      <c r="AR23" s="53"/>
      <c r="AS23" s="53"/>
      <c r="AT23" s="53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98" ht="15.75" x14ac:dyDescent="0.25">
      <c r="E24" s="174" t="str">
        <f>IF(AO24="","","d4=(")</f>
        <v>d4=(</v>
      </c>
      <c r="F24" s="372">
        <f>IF(AO24="","",J11)</f>
        <v>8</v>
      </c>
      <c r="G24" s="373" t="str">
        <f>IF(AO24="","","-")</f>
        <v>-</v>
      </c>
      <c r="H24" s="489">
        <f>IF(AO24="","",P$18)</f>
        <v>6.3</v>
      </c>
      <c r="I24" s="489"/>
      <c r="J24" s="174" t="str">
        <f t="shared" si="3"/>
        <v xml:space="preserve">)² = </v>
      </c>
      <c r="K24" s="490" t="str">
        <f t="shared" si="0"/>
        <v xml:space="preserve">(1,7)²  =   </v>
      </c>
      <c r="L24" s="490"/>
      <c r="M24" s="490"/>
      <c r="N24" s="490"/>
      <c r="O24" s="491">
        <f t="shared" si="1"/>
        <v>2.8900000000000006</v>
      </c>
      <c r="P24" s="491"/>
      <c r="Q24" s="49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N24" s="1"/>
      <c r="AO24" s="53">
        <v>7</v>
      </c>
      <c r="AP24" s="53"/>
      <c r="AQ24" s="53"/>
      <c r="AR24" s="53"/>
      <c r="AS24" s="53"/>
      <c r="AT24" s="53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98" ht="15.75" x14ac:dyDescent="0.25">
      <c r="E25" s="174" t="str">
        <f>IF(AO25="","","d5=(")</f>
        <v>d5=(</v>
      </c>
      <c r="F25" s="372">
        <f>IF(AO25="","",J12)</f>
        <v>5</v>
      </c>
      <c r="G25" s="373" t="str">
        <f>IF(AO25="","","-")</f>
        <v>-</v>
      </c>
      <c r="H25" s="489">
        <f>IF(AO25="","",P$18)</f>
        <v>6.3</v>
      </c>
      <c r="I25" s="489"/>
      <c r="J25" s="174" t="str">
        <f t="shared" si="3"/>
        <v xml:space="preserve">)² = </v>
      </c>
      <c r="K25" s="490" t="str">
        <f t="shared" si="0"/>
        <v xml:space="preserve">(-1,3)²  =   </v>
      </c>
      <c r="L25" s="490"/>
      <c r="M25" s="490"/>
      <c r="N25" s="490"/>
      <c r="O25" s="491">
        <f t="shared" si="1"/>
        <v>1.6899999999999995</v>
      </c>
      <c r="P25" s="491"/>
      <c r="Q25" s="49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N25" s="1"/>
      <c r="AO25" s="53">
        <v>7</v>
      </c>
      <c r="AP25" s="53"/>
      <c r="AQ25" s="53"/>
      <c r="AR25" s="53"/>
      <c r="AS25" s="53"/>
      <c r="AT25" s="53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98" ht="16.5" thickBot="1" x14ac:dyDescent="0.3">
      <c r="E26" s="174" t="str">
        <f>IF(AO25="","","d7=(")</f>
        <v>d7=(</v>
      </c>
      <c r="F26" s="372">
        <f>IF(AO25="","",J13)</f>
        <v>7</v>
      </c>
      <c r="G26" s="373" t="str">
        <f>IF(AO25="","","-")</f>
        <v>-</v>
      </c>
      <c r="H26" s="489">
        <f>IF(AO25="","",P$18)</f>
        <v>6.3</v>
      </c>
      <c r="I26" s="489"/>
      <c r="J26" s="174" t="str">
        <f t="shared" si="3"/>
        <v xml:space="preserve">)² = </v>
      </c>
      <c r="K26" s="490" t="str">
        <f t="shared" si="0"/>
        <v xml:space="preserve">(0,7)²  =   </v>
      </c>
      <c r="L26" s="490"/>
      <c r="M26" s="490"/>
      <c r="N26" s="490"/>
      <c r="O26" s="492">
        <f t="shared" si="1"/>
        <v>0.49000000000000027</v>
      </c>
      <c r="P26" s="492"/>
      <c r="Q26" s="492"/>
      <c r="R26" s="374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N26" s="1"/>
      <c r="AO26" s="53">
        <v>7</v>
      </c>
      <c r="AP26" s="53"/>
      <c r="AQ26" s="53"/>
      <c r="AR26" s="53"/>
      <c r="AS26" s="53"/>
      <c r="AT26" s="53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98" ht="15.75" customHeight="1" x14ac:dyDescent="0.25">
      <c r="E27" s="174" t="str">
        <f>IF(AO27="","","3)Soma dos quadrados dos desvios")</f>
        <v>3)Soma dos quadrados dos desvios</v>
      </c>
      <c r="F27" s="372"/>
      <c r="G27" s="373"/>
      <c r="H27" s="10"/>
      <c r="I27" s="10"/>
      <c r="J27" s="174"/>
      <c r="K27" s="375"/>
      <c r="L27" s="375"/>
      <c r="M27" s="375"/>
      <c r="N27" s="1"/>
      <c r="O27" s="486">
        <f>IF(AO28="","",SUM(O21:Q26))</f>
        <v>7.34</v>
      </c>
      <c r="P27" s="486"/>
      <c r="Q27" s="486"/>
      <c r="R27" s="48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N27" s="1"/>
      <c r="AO27" s="53">
        <v>7</v>
      </c>
      <c r="AP27" s="53"/>
      <c r="AQ27" s="53"/>
      <c r="AR27" s="53"/>
      <c r="AS27" s="53"/>
      <c r="AT27" s="53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98" s="1" customFormat="1" ht="16.5" customHeight="1" x14ac:dyDescent="0.35">
      <c r="A28" s="87"/>
      <c r="B28" s="87"/>
      <c r="C28" s="87"/>
      <c r="E28" s="10" t="str">
        <f>IF(AO29="","","4)Média dos quadrados dos desvio=")</f>
        <v>4)Média dos quadrados dos desvio=</v>
      </c>
      <c r="G28" s="373"/>
      <c r="H28" s="376"/>
      <c r="I28" s="376"/>
      <c r="J28" s="174"/>
      <c r="K28" s="375"/>
      <c r="L28" s="375"/>
      <c r="M28" s="377">
        <f>IF(AO29="","",O27)</f>
        <v>7.34</v>
      </c>
      <c r="N28" s="378" t="str">
        <f>IF(AO29="","","/")</f>
        <v>/</v>
      </c>
      <c r="O28" s="379" t="str">
        <f>IF(AO29="","",E13)</f>
        <v>6</v>
      </c>
      <c r="P28" s="380" t="str">
        <f>IF(AO29="","","=")</f>
        <v>=</v>
      </c>
      <c r="Q28" s="487">
        <f>IF(AO29="","",ROUND(M28/O28,2))</f>
        <v>1.22</v>
      </c>
      <c r="R28" s="487"/>
      <c r="S28" s="487"/>
      <c r="T28" s="530" t="str">
        <f>IF(AO29="","","&lt;-4)Variância")</f>
        <v>&lt;-4)Variância</v>
      </c>
      <c r="U28" s="530"/>
      <c r="V28" s="530"/>
      <c r="W28" s="381"/>
      <c r="AK28" s="87"/>
      <c r="AL28" s="87"/>
      <c r="AM28" s="87"/>
      <c r="AO28" s="53">
        <v>5</v>
      </c>
      <c r="AP28" s="53"/>
      <c r="AQ28" s="53"/>
      <c r="AR28" s="53"/>
      <c r="AS28" s="53"/>
      <c r="AT28" s="53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</row>
    <row r="29" spans="1:98" s="1" customFormat="1" ht="17.25" customHeight="1" x14ac:dyDescent="0.3">
      <c r="A29" s="87"/>
      <c r="B29" s="87"/>
      <c r="C29" s="87"/>
      <c r="E29" s="488" t="str">
        <f>IF(AO30="","","Desvio Padrão é a raíz quadrada da média dos quadrados dos desvios de cada valor com relação á média de todos os valores.")</f>
        <v>Desvio Padrão é a raíz quadrada da média dos quadrados dos desvios de cada valor com relação á média de todos os valores.</v>
      </c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531" t="str">
        <f>IF(AO31="","","5)Desvio Padrão =")</f>
        <v>5)Desvio Padrão =</v>
      </c>
      <c r="U29" s="532"/>
      <c r="V29" s="531"/>
      <c r="W29" s="531"/>
      <c r="X29" s="531"/>
      <c r="Y29" s="531"/>
      <c r="Z29" s="533" t="s">
        <v>186</v>
      </c>
      <c r="AA29" s="534">
        <f>IF(AO31="","",Q28)</f>
        <v>1.22</v>
      </c>
      <c r="AB29" s="534"/>
      <c r="AC29" s="531" t="str">
        <f>IF(AO31="","","=")</f>
        <v>=</v>
      </c>
      <c r="AD29" s="535">
        <f>IF(AO32="","",ROUND(SQRT(AA29),2))</f>
        <v>1.1000000000000001</v>
      </c>
      <c r="AE29" s="535"/>
      <c r="AF29" s="531" t="s">
        <v>189</v>
      </c>
      <c r="AG29" s="532"/>
      <c r="AH29" s="531"/>
      <c r="AI29" s="329"/>
      <c r="AK29" s="87"/>
      <c r="AL29" s="87"/>
      <c r="AM29" s="87"/>
      <c r="AO29" s="53">
        <v>555</v>
      </c>
      <c r="AP29" s="53"/>
      <c r="AQ29" s="53"/>
      <c r="AR29" s="53"/>
      <c r="AS29" s="53"/>
      <c r="AT29" s="53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</row>
    <row r="30" spans="1:98" ht="21" customHeight="1" x14ac:dyDescent="0.3">
      <c r="E30" s="488"/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536" t="s">
        <v>190</v>
      </c>
      <c r="U30" s="536"/>
      <c r="V30" s="536"/>
      <c r="W30" s="536"/>
      <c r="X30" s="536"/>
      <c r="Y30" s="536"/>
      <c r="Z30" s="536"/>
      <c r="AA30" s="537" t="str">
        <f>CONCATENATE(AD29,"/",P18,"=", ROUND(AD29/ P18,2),"  ou ",ROUND(AD29/ P18,2),"x100%  =",ROUND(AD29/P18,2)*100,"% ")</f>
        <v xml:space="preserve">1,1/6,3=0,17  ou 0,17x100%  =17% </v>
      </c>
      <c r="AB30" s="537"/>
      <c r="AC30" s="537"/>
      <c r="AD30" s="537"/>
      <c r="AE30" s="537"/>
      <c r="AF30" s="537"/>
      <c r="AG30" s="537"/>
      <c r="AH30" s="537"/>
      <c r="AI30" s="1"/>
      <c r="AJ30" s="1"/>
      <c r="AN30" s="1"/>
      <c r="AO30" s="53">
        <v>5</v>
      </c>
      <c r="AP30" s="53"/>
      <c r="AQ30" s="53"/>
      <c r="AR30" s="53"/>
      <c r="AS30" s="53"/>
      <c r="AT30" s="53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98" ht="12" customHeight="1" x14ac:dyDescent="0.25">
      <c r="D31" s="87"/>
      <c r="AN31" s="1"/>
      <c r="AO31" s="53">
        <v>6</v>
      </c>
      <c r="AP31" s="53"/>
      <c r="AQ31" s="53"/>
      <c r="AR31" s="53"/>
      <c r="AS31" s="53"/>
      <c r="AT31" s="53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98" ht="0.75" customHeight="1" x14ac:dyDescent="0.25">
      <c r="D32" s="87"/>
      <c r="AN32" s="1"/>
      <c r="AO32" s="53">
        <v>8</v>
      </c>
      <c r="AP32" s="53"/>
      <c r="AQ32" s="53"/>
      <c r="AR32" s="53"/>
      <c r="AS32" s="53"/>
      <c r="AT32" s="53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1:80" ht="12.75" customHeight="1" x14ac:dyDescent="0.25">
      <c r="D33" s="382" t="s">
        <v>187</v>
      </c>
      <c r="AN33" s="1"/>
      <c r="AO33" s="53"/>
      <c r="AP33" s="53"/>
      <c r="AQ33" s="53"/>
      <c r="AR33" s="53"/>
      <c r="AS33" s="53"/>
      <c r="AT33" s="53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x14ac:dyDescent="0.25">
      <c r="A34" s="1"/>
      <c r="B34" s="1"/>
      <c r="C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53"/>
      <c r="AP34" s="53"/>
      <c r="AQ34" s="53"/>
      <c r="AR34" s="53"/>
      <c r="AS34" s="53"/>
      <c r="AT34" s="53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80" x14ac:dyDescent="0.25">
      <c r="A35" s="1"/>
      <c r="B35" s="1"/>
      <c r="C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53"/>
      <c r="AP35" s="53"/>
      <c r="AQ35" s="53"/>
      <c r="AR35" s="53"/>
      <c r="AS35" s="53"/>
      <c r="AT35" s="53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80" x14ac:dyDescent="0.25">
      <c r="A36" s="1"/>
      <c r="B36" s="1"/>
      <c r="C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53"/>
      <c r="AP36" s="53"/>
      <c r="AQ36" s="53"/>
      <c r="AR36" s="53"/>
      <c r="AS36" s="53"/>
      <c r="AT36" s="53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80" x14ac:dyDescent="0.25">
      <c r="A37" s="1"/>
      <c r="B37" s="1"/>
      <c r="C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53"/>
      <c r="AP37" s="53"/>
      <c r="AQ37" s="53"/>
      <c r="AR37" s="53"/>
      <c r="AS37" s="53"/>
      <c r="AT37" s="53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80" x14ac:dyDescent="0.25">
      <c r="A38" s="1"/>
      <c r="B38" s="1"/>
      <c r="C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53"/>
      <c r="AP38" s="53"/>
      <c r="AQ38" s="53"/>
      <c r="AR38" s="53"/>
      <c r="AS38" s="53"/>
      <c r="AT38" s="53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80" x14ac:dyDescent="0.25">
      <c r="A39" s="1"/>
      <c r="B39" s="1"/>
      <c r="C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53"/>
      <c r="AP39" s="53"/>
      <c r="AQ39" s="53"/>
      <c r="AR39" s="53"/>
      <c r="AS39" s="53"/>
      <c r="AT39" s="53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80" x14ac:dyDescent="0.25">
      <c r="A40" s="1"/>
      <c r="B40" s="1"/>
      <c r="C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53"/>
      <c r="AP40" s="53"/>
      <c r="AQ40" s="53"/>
      <c r="AR40" s="53"/>
      <c r="AS40" s="53"/>
      <c r="AT40" s="53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80" x14ac:dyDescent="0.25">
      <c r="A41" s="1"/>
      <c r="B41" s="1"/>
      <c r="C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53"/>
      <c r="AP41" s="53"/>
      <c r="AQ41" s="53"/>
      <c r="AR41" s="53"/>
      <c r="AS41" s="53"/>
      <c r="AT41" s="53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80" x14ac:dyDescent="0.25">
      <c r="A42" s="1"/>
      <c r="B42" s="1"/>
      <c r="C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53"/>
      <c r="AP42" s="53"/>
      <c r="AQ42" s="53"/>
      <c r="AR42" s="53"/>
      <c r="AS42" s="53"/>
      <c r="AT42" s="53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80" x14ac:dyDescent="0.25">
      <c r="A43" s="1"/>
      <c r="B43" s="1"/>
      <c r="C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53"/>
      <c r="AP43" s="53"/>
      <c r="AQ43" s="53"/>
      <c r="AR43" s="53"/>
      <c r="AS43" s="53"/>
      <c r="AT43" s="53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80" x14ac:dyDescent="0.25">
      <c r="A44" s="1"/>
      <c r="B44" s="1"/>
      <c r="C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53"/>
      <c r="AP44" s="53"/>
      <c r="AQ44" s="53"/>
      <c r="AR44" s="53"/>
      <c r="AS44" s="53"/>
      <c r="AT44" s="53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80" x14ac:dyDescent="0.25">
      <c r="A45" s="1"/>
      <c r="B45" s="1"/>
      <c r="C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53"/>
      <c r="AP45" s="53"/>
      <c r="AQ45" s="53"/>
      <c r="AR45" s="53"/>
      <c r="AS45" s="53"/>
      <c r="AT45" s="53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80" x14ac:dyDescent="0.25">
      <c r="A46" s="1"/>
      <c r="B46" s="1"/>
      <c r="C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53"/>
      <c r="AP46" s="53"/>
      <c r="AQ46" s="53"/>
      <c r="AR46" s="53"/>
      <c r="AS46" s="53"/>
      <c r="AT46" s="53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80" x14ac:dyDescent="0.25">
      <c r="A47" s="1"/>
      <c r="B47" s="1"/>
      <c r="C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53"/>
      <c r="AP47" s="53"/>
      <c r="AQ47" s="53"/>
      <c r="AR47" s="53"/>
      <c r="AS47" s="53"/>
      <c r="AT47" s="53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80" x14ac:dyDescent="0.25">
      <c r="A48" s="1"/>
      <c r="B48" s="1"/>
      <c r="C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53"/>
      <c r="AP48" s="53"/>
      <c r="AQ48" s="53"/>
      <c r="AR48" s="53"/>
      <c r="AS48" s="53"/>
      <c r="AT48" s="53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x14ac:dyDescent="0.25">
      <c r="A49" s="1"/>
      <c r="B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53"/>
      <c r="AP49" s="53"/>
      <c r="AQ49" s="53"/>
      <c r="AR49" s="53"/>
      <c r="AS49" s="53"/>
      <c r="AT49" s="53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x14ac:dyDescent="0.25">
      <c r="A50" s="1"/>
      <c r="B50" s="1"/>
      <c r="C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53"/>
      <c r="AP50" s="53"/>
      <c r="AQ50" s="53"/>
      <c r="AR50" s="53"/>
      <c r="AS50" s="53"/>
      <c r="AT50" s="53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x14ac:dyDescent="0.25">
      <c r="A51" s="1"/>
      <c r="B51" s="1"/>
      <c r="C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53"/>
      <c r="AP51" s="53"/>
      <c r="AQ51" s="53"/>
      <c r="AR51" s="53"/>
      <c r="AS51" s="53"/>
      <c r="AT51" s="53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x14ac:dyDescent="0.25">
      <c r="A52" s="1"/>
      <c r="B52" s="1"/>
      <c r="C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53"/>
      <c r="AP52" s="53"/>
      <c r="AQ52" s="53"/>
      <c r="AR52" s="53"/>
      <c r="AS52" s="53"/>
      <c r="AT52" s="53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x14ac:dyDescent="0.25">
      <c r="A53" s="1"/>
      <c r="B53" s="1"/>
      <c r="C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53"/>
      <c r="AP53" s="53"/>
      <c r="AQ53" s="53"/>
      <c r="AR53" s="53"/>
      <c r="AS53" s="53"/>
      <c r="AT53" s="53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x14ac:dyDescent="0.25">
      <c r="A54" s="1"/>
      <c r="B54" s="1"/>
      <c r="C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53"/>
      <c r="AP54" s="53"/>
      <c r="AQ54" s="53"/>
      <c r="AR54" s="53"/>
      <c r="AS54" s="53"/>
      <c r="AT54" s="53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x14ac:dyDescent="0.25">
      <c r="A55" s="1"/>
      <c r="B55" s="1"/>
      <c r="C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53"/>
      <c r="AP55" s="53"/>
      <c r="AQ55" s="53"/>
      <c r="AR55" s="53"/>
      <c r="AS55" s="53"/>
      <c r="AT55" s="53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x14ac:dyDescent="0.25">
      <c r="A56" s="1"/>
      <c r="B56" s="1"/>
      <c r="C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53"/>
      <c r="AP56" s="53"/>
      <c r="AQ56" s="53"/>
      <c r="AR56" s="53"/>
      <c r="AS56" s="53"/>
      <c r="AT56" s="53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x14ac:dyDescent="0.25">
      <c r="A57" s="1"/>
      <c r="B57" s="1"/>
      <c r="C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53"/>
      <c r="AP57" s="53"/>
      <c r="AQ57" s="53"/>
      <c r="AR57" s="53"/>
      <c r="AS57" s="53"/>
      <c r="AT57" s="53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25">
      <c r="A58" s="1"/>
      <c r="B58" s="1"/>
      <c r="C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53"/>
      <c r="AP58" s="53"/>
      <c r="AQ58" s="53"/>
      <c r="AR58" s="53"/>
      <c r="AS58" s="53"/>
      <c r="AT58" s="53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x14ac:dyDescent="0.25">
      <c r="A59" s="1"/>
      <c r="C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53"/>
      <c r="AP59" s="53"/>
      <c r="AQ59" s="53"/>
      <c r="AR59" s="53"/>
      <c r="AS59" s="53"/>
      <c r="AT59" s="53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x14ac:dyDescent="0.25">
      <c r="A60" s="1"/>
      <c r="C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53"/>
      <c r="AP60" s="53"/>
      <c r="AQ60" s="53"/>
      <c r="AR60" s="53"/>
      <c r="AS60" s="53"/>
      <c r="AT60" s="53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x14ac:dyDescent="0.25">
      <c r="A61" s="1"/>
      <c r="C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53"/>
      <c r="AP61" s="53"/>
      <c r="AQ61" s="53"/>
      <c r="AR61" s="53"/>
      <c r="AS61" s="53"/>
      <c r="AT61" s="53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x14ac:dyDescent="0.25">
      <c r="A62" s="1"/>
      <c r="C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53"/>
      <c r="AP62" s="53"/>
      <c r="AQ62" s="53"/>
      <c r="AR62" s="53"/>
      <c r="AS62" s="53"/>
      <c r="AT62" s="53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25">
      <c r="A63" s="1"/>
      <c r="C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53"/>
      <c r="AP63" s="53"/>
      <c r="AQ63" s="53"/>
      <c r="AR63" s="53"/>
      <c r="AS63" s="53"/>
      <c r="AT63" s="53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x14ac:dyDescent="0.25">
      <c r="A64" s="1"/>
      <c r="C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53"/>
      <c r="AP64" s="53"/>
      <c r="AQ64" s="53"/>
      <c r="AR64" s="53"/>
      <c r="AS64" s="53"/>
      <c r="AT64" s="53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x14ac:dyDescent="0.25">
      <c r="A65" s="1"/>
      <c r="C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53"/>
      <c r="AP65" s="53"/>
      <c r="AQ65" s="53"/>
      <c r="AR65" s="53"/>
      <c r="AS65" s="53"/>
      <c r="AT65" s="5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x14ac:dyDescent="0.25">
      <c r="A66" s="1"/>
      <c r="C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53"/>
      <c r="AP66" s="53"/>
      <c r="AQ66" s="53"/>
      <c r="AR66" s="53"/>
      <c r="AS66" s="53"/>
      <c r="AT66" s="5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x14ac:dyDescent="0.25">
      <c r="A67" s="1"/>
      <c r="C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53"/>
      <c r="AP67" s="53"/>
      <c r="AQ67" s="53"/>
      <c r="AR67" s="53"/>
      <c r="AS67" s="53"/>
      <c r="AT67" s="5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x14ac:dyDescent="0.25">
      <c r="A68" s="1"/>
      <c r="C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53"/>
      <c r="AP68" s="53"/>
      <c r="AQ68" s="53"/>
      <c r="AR68" s="53"/>
      <c r="AS68" s="53"/>
      <c r="AT68" s="5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25">
      <c r="A69" s="1"/>
      <c r="C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53"/>
      <c r="AP69" s="53"/>
      <c r="AQ69" s="53"/>
      <c r="AR69" s="53"/>
      <c r="AS69" s="53"/>
      <c r="AT69" s="5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x14ac:dyDescent="0.25">
      <c r="A70" s="1"/>
      <c r="C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53"/>
      <c r="AP70" s="53"/>
      <c r="AQ70" s="53"/>
      <c r="AR70" s="53"/>
      <c r="AS70" s="53"/>
      <c r="AT70" s="5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x14ac:dyDescent="0.25">
      <c r="A71" s="1"/>
      <c r="C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53"/>
      <c r="AP71" s="53"/>
      <c r="AQ71" s="53"/>
      <c r="AR71" s="53"/>
      <c r="AS71" s="53"/>
      <c r="AT71" s="5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x14ac:dyDescent="0.25">
      <c r="A72" s="1"/>
      <c r="C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53"/>
      <c r="AP72" s="53"/>
      <c r="AQ72" s="53"/>
      <c r="AR72" s="53"/>
      <c r="AS72" s="53"/>
      <c r="AT72" s="53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x14ac:dyDescent="0.25">
      <c r="A73" s="1"/>
      <c r="C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53"/>
      <c r="AP73" s="53"/>
      <c r="AQ73" s="53"/>
      <c r="AR73" s="53"/>
      <c r="AS73" s="53"/>
      <c r="AT73" s="5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x14ac:dyDescent="0.25">
      <c r="A74" s="1"/>
      <c r="C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53"/>
      <c r="AP74" s="53"/>
      <c r="AQ74" s="53"/>
      <c r="AR74" s="53"/>
      <c r="AS74" s="53"/>
      <c r="AT74" s="5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x14ac:dyDescent="0.25">
      <c r="A75" s="1"/>
      <c r="C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53"/>
      <c r="AP75" s="53"/>
      <c r="AQ75" s="53"/>
      <c r="AR75" s="53"/>
      <c r="AS75" s="53"/>
      <c r="AT75" s="5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x14ac:dyDescent="0.25">
      <c r="D76" s="87"/>
      <c r="AP76" s="538"/>
      <c r="AQ76" s="538"/>
    </row>
    <row r="77" spans="1:59" x14ac:dyDescent="0.25">
      <c r="D77" s="87"/>
      <c r="AP77" s="538"/>
      <c r="AQ77" s="538"/>
    </row>
    <row r="78" spans="1:59" x14ac:dyDescent="0.25">
      <c r="D78" s="87"/>
      <c r="AP78" s="538"/>
      <c r="AQ78" s="538"/>
    </row>
    <row r="79" spans="1:59" x14ac:dyDescent="0.25">
      <c r="D79" s="87"/>
      <c r="AP79" s="538"/>
      <c r="AQ79" s="538"/>
    </row>
    <row r="80" spans="1:59" x14ac:dyDescent="0.25">
      <c r="D80" s="87"/>
      <c r="AP80" s="538"/>
      <c r="AQ80" s="538"/>
    </row>
    <row r="81" spans="42:43" x14ac:dyDescent="0.25">
      <c r="AP81" s="538"/>
      <c r="AQ81" s="538"/>
    </row>
    <row r="82" spans="42:43" x14ac:dyDescent="0.25">
      <c r="AP82" s="538"/>
      <c r="AQ82" s="538"/>
    </row>
    <row r="83" spans="42:43" x14ac:dyDescent="0.25">
      <c r="AP83" s="538"/>
      <c r="AQ83" s="538"/>
    </row>
    <row r="84" spans="42:43" x14ac:dyDescent="0.25">
      <c r="AP84" s="538"/>
      <c r="AQ84" s="538"/>
    </row>
    <row r="85" spans="42:43" x14ac:dyDescent="0.25">
      <c r="AP85" s="538"/>
      <c r="AQ85" s="538"/>
    </row>
    <row r="86" spans="42:43" x14ac:dyDescent="0.25">
      <c r="AP86" s="538"/>
      <c r="AQ86" s="538"/>
    </row>
  </sheetData>
  <mergeCells count="51">
    <mergeCell ref="F9:I9"/>
    <mergeCell ref="J9:M9"/>
    <mergeCell ref="AA30:AH30"/>
    <mergeCell ref="E6:M6"/>
    <mergeCell ref="F7:I7"/>
    <mergeCell ref="J7:M7"/>
    <mergeCell ref="F8:I8"/>
    <mergeCell ref="J8:M8"/>
    <mergeCell ref="F10:I10"/>
    <mergeCell ref="J10:M10"/>
    <mergeCell ref="F11:I11"/>
    <mergeCell ref="J11:M11"/>
    <mergeCell ref="F12:I12"/>
    <mergeCell ref="J12:M12"/>
    <mergeCell ref="E20:Q20"/>
    <mergeCell ref="F13:I13"/>
    <mergeCell ref="J13:M13"/>
    <mergeCell ref="E14:I14"/>
    <mergeCell ref="J14:M14"/>
    <mergeCell ref="I17:J17"/>
    <mergeCell ref="E18:I19"/>
    <mergeCell ref="L18:L19"/>
    <mergeCell ref="M18:N18"/>
    <mergeCell ref="O18:O19"/>
    <mergeCell ref="P18:R19"/>
    <mergeCell ref="S18:U19"/>
    <mergeCell ref="J19:K19"/>
    <mergeCell ref="M19:N19"/>
    <mergeCell ref="H21:I21"/>
    <mergeCell ref="K21:N21"/>
    <mergeCell ref="O21:Q21"/>
    <mergeCell ref="H22:I22"/>
    <mergeCell ref="K22:N22"/>
    <mergeCell ref="O22:Q22"/>
    <mergeCell ref="H23:I23"/>
    <mergeCell ref="K23:N23"/>
    <mergeCell ref="O23:Q23"/>
    <mergeCell ref="H24:I24"/>
    <mergeCell ref="K24:N24"/>
    <mergeCell ref="O24:Q24"/>
    <mergeCell ref="H25:I25"/>
    <mergeCell ref="K25:N25"/>
    <mergeCell ref="O25:Q25"/>
    <mergeCell ref="H26:I26"/>
    <mergeCell ref="K26:N26"/>
    <mergeCell ref="O26:Q26"/>
    <mergeCell ref="O27:R27"/>
    <mergeCell ref="Q28:S28"/>
    <mergeCell ref="E29:S30"/>
    <mergeCell ref="AA29:AB29"/>
    <mergeCell ref="AD29:AE29"/>
  </mergeCells>
  <hyperlinks>
    <hyperlink ref="D33" r:id="rId1" xr:uid="{B40BB99B-9B90-4AEB-AFB3-C54004797499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82D4-0395-462A-983F-C6595FD8EDC1}">
  <dimension ref="A1"/>
  <sheetViews>
    <sheetView workbookViewId="0">
      <selection activeCell="P18" sqref="P18"/>
    </sheetView>
  </sheetViews>
  <sheetFormatPr defaultRowHeight="15" x14ac:dyDescent="0.25"/>
  <cols>
    <col min="1" max="16384" width="9.140625" style="297"/>
  </cols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7"/>
  <sheetViews>
    <sheetView workbookViewId="0">
      <selection sqref="A1:XFD1048576"/>
    </sheetView>
  </sheetViews>
  <sheetFormatPr defaultRowHeight="12" customHeight="1" x14ac:dyDescent="0.25"/>
  <cols>
    <col min="1" max="1" width="11.85546875" style="53" customWidth="1"/>
    <col min="2" max="2" width="21" style="53" customWidth="1"/>
    <col min="3" max="3" width="36.42578125" style="53" customWidth="1"/>
    <col min="4" max="4" width="20.42578125" style="53" customWidth="1"/>
    <col min="5" max="5" width="10.140625" style="53" customWidth="1"/>
    <col min="6" max="6" width="14.7109375" style="53" customWidth="1"/>
    <col min="7" max="7" width="20.7109375" style="53" customWidth="1"/>
    <col min="8" max="8" width="7.42578125" style="53" customWidth="1"/>
    <col min="9" max="10" width="9.140625" style="53"/>
    <col min="11" max="12" width="14.140625" style="53" customWidth="1"/>
    <col min="13" max="13" width="32.28515625" style="53" customWidth="1"/>
    <col min="14" max="14" width="13.28515625" style="53" bestFit="1" customWidth="1"/>
    <col min="15" max="15" width="10.7109375" style="53" bestFit="1" customWidth="1"/>
    <col min="16" max="16" width="9.140625" style="53"/>
    <col min="17" max="17" width="13.42578125" style="53" customWidth="1"/>
    <col min="18" max="18" width="9.140625" style="53"/>
    <col min="19" max="19" width="10.7109375" style="53" bestFit="1" customWidth="1"/>
    <col min="20" max="16384" width="9.140625" style="53"/>
  </cols>
  <sheetData>
    <row r="1" spans="1:20" ht="18.75" customHeight="1" x14ac:dyDescent="0.25">
      <c r="A1" s="274" t="s">
        <v>106</v>
      </c>
      <c r="B1" s="275"/>
      <c r="C1" s="276" t="s">
        <v>107</v>
      </c>
      <c r="D1" s="277"/>
      <c r="E1" s="53" t="str">
        <f>IF(D1="","",IF(ABS(B25-D1)&lt;1,"Certo", "O resultado é a soma da renda familiar de todos os atendidos"))</f>
        <v/>
      </c>
      <c r="N1" s="278">
        <f>SUM(B6:B24)</f>
        <v>7883.25</v>
      </c>
      <c r="Q1" s="279" t="str">
        <f>IF(Inicio!C9="","",Inicio!C9)</f>
        <v>Ijuí</v>
      </c>
      <c r="R1" s="53" t="str">
        <f>IF(Q1="","",CONCATENATE(" no município de ",Q1))</f>
        <v xml:space="preserve"> no município de Ijuí</v>
      </c>
      <c r="S1" s="280">
        <f ca="1">TODAY()</f>
        <v>44400</v>
      </c>
    </row>
    <row r="2" spans="1:20" ht="15" customHeight="1" x14ac:dyDescent="0.25">
      <c r="A2" s="513" t="str">
        <f>CONCATENATE("Renda familiar dos atendidos na unidade  de saúde ABC ",R1,"   ontem à tarde, dia  ",Q5," de ",R5," de ",T5, ".")</f>
        <v>Renda familiar dos atendidos na unidade  de saúde ABC  no município de Ijuí   ontem à tarde, dia  3 de 9 de 1928.</v>
      </c>
      <c r="B2" s="513"/>
      <c r="C2" s="281" t="s">
        <v>115</v>
      </c>
      <c r="D2" s="282"/>
      <c r="E2" s="53" t="str">
        <f>IF(D2="","",IF(ABS(B25/A24-D2)&lt;2,"Certo", " Valor errado!A média é a soma de todas as rendas divido pelo número de pessoas atendidas."))</f>
        <v/>
      </c>
      <c r="N2" s="278"/>
      <c r="Q2" s="279"/>
      <c r="S2" s="280"/>
    </row>
    <row r="3" spans="1:20" ht="16.5" customHeight="1" x14ac:dyDescent="0.25">
      <c r="A3" s="513"/>
      <c r="B3" s="513"/>
      <c r="C3" s="275" t="s">
        <v>108</v>
      </c>
      <c r="D3" s="283"/>
      <c r="E3" s="53" t="str">
        <f>IF(D3="","",IF(ABS(D3-B18)&lt;1,"Certo", "A Moda é o valor da renda que mais  se repete. Caso nenhum se repita, então não tem moda."))</f>
        <v/>
      </c>
      <c r="N3" s="278">
        <f>SUM(B6:B24)/19</f>
        <v>414.90789473684208</v>
      </c>
      <c r="O3" s="280"/>
      <c r="Q3" s="280">
        <f>Inicio!C7/10</f>
        <v>10475.799999999999</v>
      </c>
      <c r="R3" s="53">
        <f>VALUE(Q3)</f>
        <v>10475.799999999999</v>
      </c>
    </row>
    <row r="4" spans="1:20" ht="42.75" customHeight="1" x14ac:dyDescent="0.25">
      <c r="A4" s="513"/>
      <c r="B4" s="513"/>
      <c r="C4" s="514" t="s">
        <v>177</v>
      </c>
      <c r="D4" s="284" t="s">
        <v>109</v>
      </c>
      <c r="F4" s="282"/>
      <c r="G4" s="515" t="str">
        <f>IF(F4="","",IF(ABS(F4-10)&lt;1,"Certo", "Considerando que o número de dados é ímpar, a posição da mediana é (n+1)/2=(19+1)/2=?"))</f>
        <v/>
      </c>
      <c r="H4" s="515"/>
      <c r="I4" s="515"/>
      <c r="J4" s="515"/>
      <c r="K4" s="515"/>
      <c r="N4" s="278"/>
      <c r="O4" s="280"/>
      <c r="Q4" s="280"/>
    </row>
    <row r="5" spans="1:20" ht="31.5" customHeight="1" x14ac:dyDescent="0.25">
      <c r="A5" s="285" t="s">
        <v>116</v>
      </c>
      <c r="B5" s="285" t="s">
        <v>178</v>
      </c>
      <c r="C5" s="514"/>
      <c r="D5" s="275" t="s">
        <v>110</v>
      </c>
      <c r="F5" s="286"/>
      <c r="G5" s="515" t="str">
        <f>IF(F5="","",IF(ABS(F5-B15)&lt;1,"Certo", "O valor da mediana é o rendimento familiar que  posição  do meio, se o número de dados é ímpar. No caso é o valor que ocupa a décima posição!"))</f>
        <v/>
      </c>
      <c r="H5" s="515"/>
      <c r="I5" s="515"/>
      <c r="J5" s="515"/>
      <c r="K5" s="515"/>
      <c r="L5" s="515"/>
      <c r="M5" s="515"/>
      <c r="Q5" s="53">
        <f>IF(VALUE(DAY(R3))-1=1," 1º ",VALUE(DAY(R3))-1)</f>
        <v>3</v>
      </c>
      <c r="R5" s="53">
        <f>VALUE(MONTH(R3))</f>
        <v>9</v>
      </c>
      <c r="S5" s="53" t="e">
        <f>#VALUE!</f>
        <v>#VALUE!</v>
      </c>
      <c r="T5" s="53">
        <f>YEAR(R3)</f>
        <v>1928</v>
      </c>
    </row>
    <row r="6" spans="1:20" ht="12" customHeight="1" x14ac:dyDescent="0.25">
      <c r="A6" s="86">
        <v>1</v>
      </c>
      <c r="B6" s="287">
        <f>TRUNC(Inicio!C$7/400,2)</f>
        <v>261.89</v>
      </c>
      <c r="C6" s="53" t="str">
        <f>IF(D$2="","",IF(E$2="Certo",CONCATENATE("(",B6,"-",TRUNC(D$2,2),")²=",(TRUNC(D$2,2)-B6)^2),""))</f>
        <v/>
      </c>
      <c r="D6" s="53" t="str">
        <f>IF(E2="Certo",CONCATENATE("(x1-X)², onde X= média=",D$2," e  x1= peso da linha 1=",B6,"."),"")</f>
        <v/>
      </c>
      <c r="G6" s="273"/>
      <c r="H6" s="273"/>
      <c r="I6" s="273"/>
      <c r="J6" s="273"/>
      <c r="K6" s="273"/>
      <c r="Q6" s="53">
        <f>Inicio!C7</f>
        <v>104758</v>
      </c>
    </row>
    <row r="7" spans="1:20" ht="12" customHeight="1" x14ac:dyDescent="0.25">
      <c r="A7" s="86">
        <v>2</v>
      </c>
      <c r="B7" s="287">
        <f>TRUNC(B6*(1.025)^2,2)</f>
        <v>275.14</v>
      </c>
      <c r="C7" s="53" t="str">
        <f>IF(D$2="","",IF(E$2="Certo",CONCATENATE("(",B7,"-",TRUNC(D$2,2),")²=",(TRUNC(D$2,2)-B7)^2),""))</f>
        <v/>
      </c>
      <c r="D7" s="53" t="str">
        <f>IF(E2="Certo",CONCATENATE("(x2-X)², onde X= média=",D$2," e  x2= peso da linha 2=",B7,"."),"")</f>
        <v/>
      </c>
      <c r="G7" s="273"/>
      <c r="H7" s="273"/>
      <c r="I7" s="273"/>
      <c r="J7" s="273"/>
      <c r="K7" s="273"/>
    </row>
    <row r="8" spans="1:20" ht="12" customHeight="1" x14ac:dyDescent="0.25">
      <c r="A8" s="86">
        <v>3</v>
      </c>
      <c r="B8" s="287">
        <f t="shared" ref="B8:B24" si="0">TRUNC(B7*(1.025)^2,2)</f>
        <v>289.06</v>
      </c>
      <c r="C8" s="53" t="str">
        <f>IF(D$2="","",IF(E$2="Certo",CONCATENATE("(",B8,"-",TRUNC(D$2,2),")²=",(TRUNC(D$2,2)-B8)^2),""))</f>
        <v/>
      </c>
      <c r="D8" s="53" t="str">
        <f>IF(E2="Certo",CONCATENATE("(x3-X)², onde X= média=",D$2," e  x3= peso da linha 3=",B8,"."),"")</f>
        <v/>
      </c>
      <c r="G8" s="273"/>
      <c r="H8" s="273"/>
      <c r="I8" s="273"/>
      <c r="J8" s="273"/>
      <c r="K8" s="273"/>
    </row>
    <row r="9" spans="1:20" ht="12" customHeight="1" x14ac:dyDescent="0.25">
      <c r="A9" s="86">
        <v>4</v>
      </c>
      <c r="B9" s="287">
        <f t="shared" si="0"/>
        <v>303.69</v>
      </c>
      <c r="C9" s="288">
        <f>(D$2-B9)^2</f>
        <v>92227.616099999999</v>
      </c>
      <c r="D9" s="53" t="str">
        <f>IF(C9="","",IF(ABS(C9-(D$2-B9)^2)&lt;50,"Certo","Errado"))</f>
        <v>Certo</v>
      </c>
    </row>
    <row r="10" spans="1:20" ht="12" customHeight="1" x14ac:dyDescent="0.25">
      <c r="A10" s="86">
        <v>5</v>
      </c>
      <c r="B10" s="287">
        <f t="shared" si="0"/>
        <v>319.06</v>
      </c>
      <c r="C10" s="288"/>
      <c r="D10" s="53" t="str">
        <f t="shared" ref="D10:D24" si="1">IF(C10="","",IF(ABS(C10-(D$2-B10)^2)&lt;50,"Certo","Errado"))</f>
        <v/>
      </c>
    </row>
    <row r="11" spans="1:20" ht="12" customHeight="1" x14ac:dyDescent="0.25">
      <c r="A11" s="86">
        <v>6</v>
      </c>
      <c r="B11" s="287">
        <f t="shared" si="0"/>
        <v>335.21</v>
      </c>
      <c r="C11" s="288"/>
      <c r="D11" s="53" t="str">
        <f t="shared" si="1"/>
        <v/>
      </c>
    </row>
    <row r="12" spans="1:20" ht="12" customHeight="1" x14ac:dyDescent="0.25">
      <c r="A12" s="86">
        <v>7</v>
      </c>
      <c r="B12" s="287">
        <f t="shared" si="0"/>
        <v>352.18</v>
      </c>
      <c r="C12" s="288"/>
      <c r="D12" s="53" t="str">
        <f t="shared" si="1"/>
        <v/>
      </c>
    </row>
    <row r="13" spans="1:20" ht="12" customHeight="1" x14ac:dyDescent="0.25">
      <c r="A13" s="86">
        <v>8</v>
      </c>
      <c r="B13" s="287">
        <f t="shared" si="0"/>
        <v>370</v>
      </c>
      <c r="C13" s="288"/>
      <c r="D13" s="53" t="str">
        <f t="shared" si="1"/>
        <v/>
      </c>
    </row>
    <row r="14" spans="1:20" ht="12" customHeight="1" x14ac:dyDescent="0.25">
      <c r="A14" s="86">
        <v>9</v>
      </c>
      <c r="B14" s="287">
        <f t="shared" si="0"/>
        <v>388.73</v>
      </c>
      <c r="C14" s="288"/>
      <c r="D14" s="53" t="str">
        <f t="shared" si="1"/>
        <v/>
      </c>
    </row>
    <row r="15" spans="1:20" ht="12" customHeight="1" x14ac:dyDescent="0.25">
      <c r="A15" s="86">
        <v>10</v>
      </c>
      <c r="B15" s="287">
        <f t="shared" si="0"/>
        <v>408.4</v>
      </c>
      <c r="C15" s="288"/>
      <c r="D15" s="53" t="str">
        <f t="shared" si="1"/>
        <v/>
      </c>
    </row>
    <row r="16" spans="1:20" ht="12" customHeight="1" x14ac:dyDescent="0.25">
      <c r="A16" s="86">
        <v>11</v>
      </c>
      <c r="B16" s="287">
        <f>TRUNC(B15*(1.025)^2,2)</f>
        <v>429.07</v>
      </c>
      <c r="C16" s="288"/>
      <c r="D16" s="53" t="str">
        <f t="shared" si="1"/>
        <v/>
      </c>
    </row>
    <row r="17" spans="1:4" ht="12" customHeight="1" x14ac:dyDescent="0.25">
      <c r="A17" s="86">
        <v>12</v>
      </c>
      <c r="B17" s="287">
        <f>TRUNC(B16*(1.025)^2,2)</f>
        <v>450.79</v>
      </c>
      <c r="C17" s="288"/>
      <c r="D17" s="53" t="str">
        <f t="shared" si="1"/>
        <v/>
      </c>
    </row>
    <row r="18" spans="1:4" ht="12" customHeight="1" x14ac:dyDescent="0.25">
      <c r="A18" s="86">
        <v>13</v>
      </c>
      <c r="B18" s="287">
        <f t="shared" si="0"/>
        <v>473.61</v>
      </c>
      <c r="C18" s="288"/>
      <c r="D18" s="53" t="str">
        <f t="shared" si="1"/>
        <v/>
      </c>
    </row>
    <row r="19" spans="1:4" ht="12" customHeight="1" x14ac:dyDescent="0.25">
      <c r="A19" s="86">
        <v>14</v>
      </c>
      <c r="B19" s="287">
        <f>TRUNC(B17*(1.025)^2,2)</f>
        <v>473.61</v>
      </c>
      <c r="C19" s="288"/>
      <c r="D19" s="53" t="str">
        <f t="shared" si="1"/>
        <v/>
      </c>
    </row>
    <row r="20" spans="1:4" ht="12" customHeight="1" x14ac:dyDescent="0.25">
      <c r="A20" s="86">
        <v>15</v>
      </c>
      <c r="B20" s="287">
        <f>TRUNC(B19*(1.025)^2,2)</f>
        <v>497.58</v>
      </c>
      <c r="C20" s="288"/>
      <c r="D20" s="53" t="str">
        <f t="shared" si="1"/>
        <v/>
      </c>
    </row>
    <row r="21" spans="1:4" ht="12" customHeight="1" x14ac:dyDescent="0.25">
      <c r="A21" s="86">
        <v>16</v>
      </c>
      <c r="B21" s="287">
        <f t="shared" si="0"/>
        <v>522.76</v>
      </c>
      <c r="C21" s="288"/>
      <c r="D21" s="53" t="str">
        <f t="shared" si="1"/>
        <v/>
      </c>
    </row>
    <row r="22" spans="1:4" ht="12" customHeight="1" x14ac:dyDescent="0.25">
      <c r="A22" s="86">
        <v>17</v>
      </c>
      <c r="B22" s="287">
        <f t="shared" si="0"/>
        <v>549.22</v>
      </c>
      <c r="C22" s="288"/>
      <c r="D22" s="53" t="str">
        <f t="shared" si="1"/>
        <v/>
      </c>
    </row>
    <row r="23" spans="1:4" ht="12" customHeight="1" x14ac:dyDescent="0.25">
      <c r="A23" s="86">
        <v>18</v>
      </c>
      <c r="B23" s="287">
        <f t="shared" si="0"/>
        <v>577.02</v>
      </c>
      <c r="C23" s="288"/>
      <c r="D23" s="53" t="str">
        <f t="shared" si="1"/>
        <v/>
      </c>
    </row>
    <row r="24" spans="1:4" ht="12" customHeight="1" x14ac:dyDescent="0.25">
      <c r="A24" s="86">
        <v>19</v>
      </c>
      <c r="B24" s="287">
        <f t="shared" si="0"/>
        <v>606.23</v>
      </c>
      <c r="C24" s="278"/>
      <c r="D24" s="53" t="str">
        <f t="shared" si="1"/>
        <v/>
      </c>
    </row>
    <row r="25" spans="1:4" ht="12" customHeight="1" x14ac:dyDescent="0.25">
      <c r="A25" s="53" t="s">
        <v>2</v>
      </c>
      <c r="B25" s="278">
        <f>SUM(B24,B22,B20,B18,B16,B14,B12,B10,B8)</f>
        <v>3904.74</v>
      </c>
    </row>
    <row r="26" spans="1:4" ht="12" customHeight="1" x14ac:dyDescent="0.25">
      <c r="B26" s="278">
        <f>AVERAGE(B6:B24)</f>
        <v>414.90789473684208</v>
      </c>
    </row>
    <row r="27" spans="1:4" ht="12" customHeight="1" x14ac:dyDescent="0.25">
      <c r="A27" s="53" t="s">
        <v>104</v>
      </c>
    </row>
  </sheetData>
  <mergeCells count="4">
    <mergeCell ref="A2:B4"/>
    <mergeCell ref="C4:C5"/>
    <mergeCell ref="G4:K4"/>
    <mergeCell ref="G5:M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7"/>
  <sheetViews>
    <sheetView workbookViewId="0">
      <selection sqref="A1:XFD1048576"/>
    </sheetView>
  </sheetViews>
  <sheetFormatPr defaultRowHeight="12" customHeight="1" x14ac:dyDescent="0.25"/>
  <cols>
    <col min="1" max="1" width="13" style="53" customWidth="1"/>
    <col min="2" max="2" width="12.7109375" style="53" customWidth="1"/>
    <col min="3" max="3" width="31.7109375" style="53" customWidth="1"/>
    <col min="4" max="4" width="16.85546875" style="53" customWidth="1"/>
    <col min="5" max="5" width="15.28515625" style="53" customWidth="1"/>
    <col min="6" max="6" width="15.85546875" style="53" customWidth="1"/>
    <col min="7" max="7" width="20.7109375" style="53" customWidth="1"/>
    <col min="8" max="8" width="7.42578125" style="53" customWidth="1"/>
    <col min="9" max="10" width="9.140625" style="53"/>
    <col min="11" max="12" width="14.140625" style="53" customWidth="1"/>
    <col min="13" max="13" width="9.140625" style="53"/>
    <col min="14" max="14" width="13.28515625" style="53" bestFit="1" customWidth="1"/>
    <col min="15" max="15" width="10.7109375" style="53" bestFit="1" customWidth="1"/>
    <col min="16" max="16" width="9.140625" style="53"/>
    <col min="17" max="17" width="13.42578125" style="53" customWidth="1"/>
    <col min="18" max="18" width="9.140625" style="53"/>
    <col min="19" max="19" width="10.7109375" style="53" bestFit="1" customWidth="1"/>
    <col min="20" max="16384" width="9.140625" style="53"/>
  </cols>
  <sheetData>
    <row r="1" spans="1:20" ht="29.25" customHeight="1" x14ac:dyDescent="0.25">
      <c r="A1" s="518" t="s">
        <v>106</v>
      </c>
      <c r="B1" s="518"/>
      <c r="C1" s="276" t="s">
        <v>111</v>
      </c>
      <c r="D1" s="282"/>
      <c r="E1" s="275" t="str">
        <f>IF(D1="","",IF(ABS(B26-D1)&lt;1,"Certo", "O resultado é a soma da peso  de todos os atendidos"))</f>
        <v/>
      </c>
      <c r="N1" s="278">
        <f>SUM(B6:B24)</f>
        <v>475</v>
      </c>
      <c r="Q1" s="279" t="str">
        <f>IF(Inicio!C9="","",Inicio!C9)</f>
        <v>Ijuí</v>
      </c>
      <c r="R1" s="53" t="str">
        <f>IF(Q1="","",CONCATENATE(" no município de ",Q1))</f>
        <v xml:space="preserve"> no município de Ijuí</v>
      </c>
      <c r="S1" s="280">
        <f ca="1">TODAY()</f>
        <v>44400</v>
      </c>
    </row>
    <row r="2" spans="1:20" ht="15" customHeight="1" x14ac:dyDescent="0.25">
      <c r="A2" s="513" t="str">
        <f ca="1">CONCATENATE("Peso peso, em kg,  dos atendidos na unidade  de saúde ABC ",R1,"   ontem pela manhã, dia  ",Q5," de ",S5," de ",T5, ".")</f>
        <v>Peso peso, em kg,  dos atendidos na unidade  de saúde ABC  no município de Ijuí   ontem pela manhã, dia  22 de 7 de 2021.</v>
      </c>
      <c r="B2" s="513"/>
      <c r="C2" s="275" t="s">
        <v>117</v>
      </c>
      <c r="D2" s="289"/>
      <c r="E2" s="275" t="str">
        <f>IF(D2="","",IF(ABS(B26/A25-D2)&lt;2,"Certo", "A média é a soma de todas os pesos divido pelo número de pessoas atendidas."))</f>
        <v/>
      </c>
      <c r="N2" s="278"/>
      <c r="Q2" s="279"/>
      <c r="S2" s="280"/>
    </row>
    <row r="3" spans="1:20" ht="16.5" customHeight="1" x14ac:dyDescent="0.25">
      <c r="A3" s="513"/>
      <c r="B3" s="513"/>
      <c r="C3" s="275" t="s">
        <v>112</v>
      </c>
      <c r="D3" s="289"/>
      <c r="E3" s="275" t="str">
        <f>IF(D3="","",IF(ABS(D3-B10)&lt;1,"Certo", "A Moda é o valor do peso que mais  se repete. Caso nenhum se repita, então não tem moda."))</f>
        <v/>
      </c>
      <c r="N3" s="278">
        <f>SUM(B6:B24)/A24</f>
        <v>25</v>
      </c>
      <c r="O3" s="280"/>
      <c r="Q3" s="280">
        <f ca="1">TODAY()</f>
        <v>44400</v>
      </c>
      <c r="R3" s="53">
        <f ca="1">VALUE(Q3)</f>
        <v>44400</v>
      </c>
    </row>
    <row r="4" spans="1:20" ht="53.25" customHeight="1" x14ac:dyDescent="0.25">
      <c r="A4" s="513"/>
      <c r="B4" s="513"/>
      <c r="C4" s="517" t="s">
        <v>175</v>
      </c>
      <c r="D4" s="290" t="s">
        <v>109</v>
      </c>
      <c r="F4" s="291"/>
      <c r="G4" s="516" t="str">
        <f>IF(F4="","",IF(VALUE(N6)&lt;1,"Certo", "Considerando que o número de dados é par, a posição da mediana é (n)/2 e a posição seguinte."))</f>
        <v/>
      </c>
      <c r="H4" s="516"/>
      <c r="I4" s="516"/>
      <c r="J4" s="516"/>
      <c r="K4" s="516"/>
      <c r="N4" s="279" t="e">
        <f>FIND(10,F4,1)</f>
        <v>#VALUE!</v>
      </c>
      <c r="O4" s="280"/>
      <c r="Q4" s="280"/>
    </row>
    <row r="5" spans="1:20" ht="36.75" customHeight="1" x14ac:dyDescent="0.25">
      <c r="A5" s="285" t="s">
        <v>105</v>
      </c>
      <c r="B5" s="285" t="s">
        <v>176</v>
      </c>
      <c r="C5" s="517"/>
      <c r="D5" s="275" t="s">
        <v>110</v>
      </c>
      <c r="F5" s="291"/>
      <c r="G5" s="516" t="str">
        <f>IF(F5="","",IF(ABS(F5-(B15+B16)/2)&lt;2,"Certo", " Para  número par de dados, a mediana é a média dos valores que ocupam as posições n/2  e a posição seguinte."))</f>
        <v/>
      </c>
      <c r="H5" s="516"/>
      <c r="I5" s="516"/>
      <c r="J5" s="516"/>
      <c r="K5" s="516"/>
      <c r="N5" s="279" t="e">
        <f>FIND(11,F4,1)</f>
        <v>#VALUE!</v>
      </c>
      <c r="Q5" s="53">
        <f ca="1">IF(VALUE(DAY(R3))-1=1," 1º ",VALUE(DAY(R3))-1)</f>
        <v>22</v>
      </c>
      <c r="S5" s="53">
        <f ca="1">VALUE(MONTH(R3))</f>
        <v>7</v>
      </c>
      <c r="T5" s="53">
        <f ca="1">YEAR(R3)</f>
        <v>2021</v>
      </c>
    </row>
    <row r="6" spans="1:20" ht="12" customHeight="1" x14ac:dyDescent="0.25">
      <c r="A6" s="86">
        <v>1</v>
      </c>
      <c r="B6" s="292">
        <f>MOD(Inicio!C$7,13)+MOD(Inicio!C$7,11)+1</f>
        <v>10</v>
      </c>
      <c r="C6" s="53" t="str">
        <f>IF(D$2="","",IF(ABS($D$2-AVERAGE(B$6:B$25))&lt;2,CONCATENATE("(",B6,"-",TRUNC(AVERAGE(B$6:B$25),2),")²=",TRUNC((AVERAGE(B$6:B$25)-B6)^2,2),)))</f>
        <v/>
      </c>
      <c r="D6" s="53" t="str">
        <f>IF(E2="Certo",CONCATENATE("(x1-X)², onde X= média=",D$2," e  x1= peso da linha 1=",B6,"."),"")</f>
        <v/>
      </c>
      <c r="G6" s="516"/>
      <c r="H6" s="516"/>
      <c r="I6" s="516"/>
      <c r="J6" s="516"/>
      <c r="K6" s="516"/>
      <c r="M6" s="53" t="s">
        <v>113</v>
      </c>
      <c r="N6" s="53">
        <f>IF(ISNUMBER(N4+N5),N4+N5,0)</f>
        <v>0</v>
      </c>
      <c r="Q6" s="53">
        <f>Inicio!C7</f>
        <v>104758</v>
      </c>
    </row>
    <row r="7" spans="1:20" ht="12" customHeight="1" x14ac:dyDescent="0.25">
      <c r="A7" s="86">
        <v>2</v>
      </c>
      <c r="B7" s="292">
        <f>TRUNC(B$6*(1+0.17*A7),0)</f>
        <v>13</v>
      </c>
      <c r="C7" s="53" t="str">
        <f>IF(D$2="","",IF(ABS($D$2-AVERAGE(B$6:B$25))&lt;2,CONCATENATE("(",B7,"-",TRUNC(AVERAGE(B$6:B$25),2),")²=",TRUNC((AVERAGE(B$6:B$25)-B7)^2,2),)))</f>
        <v/>
      </c>
      <c r="D7" s="53" t="str">
        <f>IF(D$2="Certo",CONCATENATE("(x2-X)², onde X= média=",D$2," e  x2= peso da linha 2=",B7,"."),"")</f>
        <v/>
      </c>
      <c r="G7" s="516"/>
      <c r="H7" s="516"/>
      <c r="I7" s="516"/>
      <c r="J7" s="516"/>
      <c r="K7" s="516"/>
      <c r="M7" s="53" t="s">
        <v>114</v>
      </c>
    </row>
    <row r="8" spans="1:20" ht="12" customHeight="1" x14ac:dyDescent="0.25">
      <c r="A8" s="86">
        <v>3</v>
      </c>
      <c r="B8" s="292">
        <f>TRUNC(B$6*(1+0.17*A8),0)</f>
        <v>15</v>
      </c>
      <c r="C8" s="53" t="str">
        <f>IF(D$2="","",IF(ABS($D$2-AVERAGE(B$6:B$25))&lt;2,CONCATENATE("(",B8,"-",TRUNC(AVERAGE(B$6:B$25),2),")²=",TRUNC((AVERAGE(B$6:B$25)-B8)^2,2),)))</f>
        <v/>
      </c>
      <c r="D8" s="53" t="str">
        <f>IF(ABS(D$2-N$3)&lt;2,CONCATENATE("(x3-X)², onde X= média=",D$2," e  x3= peso da linha 3=",B8,"."),"")</f>
        <v/>
      </c>
      <c r="G8" s="516"/>
      <c r="H8" s="516"/>
      <c r="I8" s="516"/>
      <c r="J8" s="516"/>
      <c r="K8" s="516"/>
    </row>
    <row r="9" spans="1:20" ht="12" customHeight="1" x14ac:dyDescent="0.25">
      <c r="A9" s="86">
        <v>4</v>
      </c>
      <c r="B9" s="292">
        <f>TRUNC(B$6*(1+0.17*A9),0)</f>
        <v>16</v>
      </c>
      <c r="D9" s="53" t="str">
        <f>IF(C9="","",IF(ABS(C9-(D$2-B9)^2)&lt;3,"Certo","Errado"))</f>
        <v/>
      </c>
    </row>
    <row r="10" spans="1:20" ht="12" customHeight="1" x14ac:dyDescent="0.25">
      <c r="A10" s="86">
        <v>5</v>
      </c>
      <c r="B10" s="292">
        <f>TRUNC(B$6*(1+0.19*A10),0)</f>
        <v>19</v>
      </c>
      <c r="D10" s="53" t="str">
        <f t="shared" ref="D10:D25" si="0">IF(C10="","",IF(ABS(C10-(D$2-B10)^2)&lt;3,"Certo","Errado"))</f>
        <v/>
      </c>
    </row>
    <row r="11" spans="1:20" ht="12" customHeight="1" x14ac:dyDescent="0.25">
      <c r="A11" s="86">
        <v>6</v>
      </c>
      <c r="B11" s="292">
        <f>B10</f>
        <v>19</v>
      </c>
      <c r="D11" s="53" t="str">
        <f t="shared" si="0"/>
        <v/>
      </c>
    </row>
    <row r="12" spans="1:20" ht="12" customHeight="1" x14ac:dyDescent="0.25">
      <c r="A12" s="86">
        <v>7</v>
      </c>
      <c r="B12" s="292">
        <f>B10</f>
        <v>19</v>
      </c>
      <c r="D12" s="53" t="str">
        <f t="shared" si="0"/>
        <v/>
      </c>
    </row>
    <row r="13" spans="1:20" ht="12" customHeight="1" x14ac:dyDescent="0.25">
      <c r="A13" s="86">
        <v>8</v>
      </c>
      <c r="B13" s="292">
        <f>TRUNC(B$6*(1+0.17*A11),0)</f>
        <v>20</v>
      </c>
      <c r="D13" s="53" t="str">
        <f t="shared" si="0"/>
        <v/>
      </c>
    </row>
    <row r="14" spans="1:20" ht="12" customHeight="1" x14ac:dyDescent="0.25">
      <c r="A14" s="86">
        <v>9</v>
      </c>
      <c r="B14" s="292">
        <f t="shared" ref="B14:B19" si="1">TRUNC(B$6*(1+0.19*A12),0)</f>
        <v>23</v>
      </c>
      <c r="D14" s="53" t="str">
        <f t="shared" si="0"/>
        <v/>
      </c>
    </row>
    <row r="15" spans="1:20" ht="12" customHeight="1" x14ac:dyDescent="0.25">
      <c r="A15" s="86">
        <v>10</v>
      </c>
      <c r="B15" s="292">
        <f t="shared" si="1"/>
        <v>25</v>
      </c>
      <c r="D15" s="53" t="str">
        <f t="shared" si="0"/>
        <v/>
      </c>
    </row>
    <row r="16" spans="1:20" ht="12" customHeight="1" x14ac:dyDescent="0.25">
      <c r="A16" s="86">
        <v>11</v>
      </c>
      <c r="B16" s="292">
        <f t="shared" si="1"/>
        <v>27</v>
      </c>
      <c r="D16" s="53" t="str">
        <f t="shared" si="0"/>
        <v/>
      </c>
    </row>
    <row r="17" spans="1:10" ht="12" customHeight="1" x14ac:dyDescent="0.25">
      <c r="A17" s="86">
        <v>12</v>
      </c>
      <c r="B17" s="292">
        <f t="shared" si="1"/>
        <v>29</v>
      </c>
      <c r="D17" s="53" t="str">
        <f t="shared" si="0"/>
        <v/>
      </c>
    </row>
    <row r="18" spans="1:10" ht="12" customHeight="1" x14ac:dyDescent="0.25">
      <c r="A18" s="86">
        <v>13</v>
      </c>
      <c r="B18" s="292">
        <f t="shared" si="1"/>
        <v>30</v>
      </c>
      <c r="D18" s="53" t="str">
        <f t="shared" si="0"/>
        <v/>
      </c>
    </row>
    <row r="19" spans="1:10" ht="12" customHeight="1" x14ac:dyDescent="0.25">
      <c r="A19" s="86">
        <v>14</v>
      </c>
      <c r="B19" s="292">
        <f t="shared" si="1"/>
        <v>32</v>
      </c>
      <c r="D19" s="53" t="str">
        <f t="shared" si="0"/>
        <v/>
      </c>
    </row>
    <row r="20" spans="1:10" ht="12" customHeight="1" x14ac:dyDescent="0.25">
      <c r="A20" s="86">
        <v>15</v>
      </c>
      <c r="B20" s="292">
        <f t="shared" ref="B20:B25" si="2">TRUNC(B$6*(1+0.19*A17),0)</f>
        <v>32</v>
      </c>
      <c r="D20" s="53" t="str">
        <f t="shared" si="0"/>
        <v/>
      </c>
    </row>
    <row r="21" spans="1:10" ht="12" customHeight="1" x14ac:dyDescent="0.25">
      <c r="A21" s="86">
        <v>16</v>
      </c>
      <c r="B21" s="292">
        <f>TRUNC(B$6*(1+0.17*A18),0)</f>
        <v>32</v>
      </c>
      <c r="D21" s="53" t="str">
        <f t="shared" si="0"/>
        <v/>
      </c>
    </row>
    <row r="22" spans="1:10" ht="12" customHeight="1" x14ac:dyDescent="0.25">
      <c r="A22" s="86">
        <v>17</v>
      </c>
      <c r="B22" s="292">
        <f t="shared" si="2"/>
        <v>36</v>
      </c>
      <c r="D22" s="53" t="str">
        <f t="shared" si="0"/>
        <v/>
      </c>
    </row>
    <row r="23" spans="1:10" ht="12" customHeight="1" x14ac:dyDescent="0.25">
      <c r="A23" s="86">
        <v>18</v>
      </c>
      <c r="B23" s="292">
        <f t="shared" si="2"/>
        <v>38</v>
      </c>
      <c r="D23" s="53" t="str">
        <f t="shared" si="0"/>
        <v/>
      </c>
    </row>
    <row r="24" spans="1:10" ht="12" customHeight="1" x14ac:dyDescent="0.25">
      <c r="A24" s="86">
        <v>19</v>
      </c>
      <c r="B24" s="292">
        <f t="shared" si="2"/>
        <v>40</v>
      </c>
      <c r="D24" s="53" t="str">
        <f t="shared" si="0"/>
        <v/>
      </c>
    </row>
    <row r="25" spans="1:10" ht="12" customHeight="1" x14ac:dyDescent="0.25">
      <c r="A25" s="86">
        <v>20</v>
      </c>
      <c r="B25" s="292">
        <f t="shared" si="2"/>
        <v>42</v>
      </c>
      <c r="D25" s="53" t="str">
        <f t="shared" si="0"/>
        <v/>
      </c>
    </row>
    <row r="26" spans="1:10" ht="12" customHeight="1" x14ac:dyDescent="0.25">
      <c r="A26" s="86" t="s">
        <v>2</v>
      </c>
      <c r="B26" s="293">
        <f>SUM(B6:B25)</f>
        <v>517</v>
      </c>
      <c r="D26" s="53" t="str">
        <f>IF(C26="","",IF(ABS(C26-(N$3-B26)^2)&lt;50,"Certo","Errado"))</f>
        <v/>
      </c>
    </row>
    <row r="27" spans="1:10" ht="17.25" customHeight="1" x14ac:dyDescent="0.35">
      <c r="A27" s="53" t="s">
        <v>104</v>
      </c>
      <c r="J27" s="294" t="s">
        <v>138</v>
      </c>
    </row>
  </sheetData>
  <mergeCells count="5">
    <mergeCell ref="G4:K4"/>
    <mergeCell ref="G5:K8"/>
    <mergeCell ref="C4:C5"/>
    <mergeCell ref="A2:B4"/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3"/>
  <sheetViews>
    <sheetView workbookViewId="0">
      <selection sqref="A1:XFD1048576"/>
    </sheetView>
  </sheetViews>
  <sheetFormatPr defaultRowHeight="15" x14ac:dyDescent="0.25"/>
  <cols>
    <col min="1" max="16384" width="9.140625" style="271"/>
  </cols>
  <sheetData>
    <row r="1" spans="1:19" ht="15" customHeight="1" x14ac:dyDescent="0.25">
      <c r="A1" s="270" t="s">
        <v>139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</row>
    <row r="2" spans="1:19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</row>
    <row r="3" spans="1:19" x14ac:dyDescent="0.25">
      <c r="A3" s="272" t="s">
        <v>140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</row>
    <row r="4" spans="1:19" ht="15.75" thickBot="1" x14ac:dyDescent="0.3">
      <c r="A4" s="270" t="s">
        <v>142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19" x14ac:dyDescent="0.25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1"/>
      <c r="M5" s="270"/>
      <c r="N5" s="270"/>
      <c r="O5" s="270"/>
      <c r="P5" s="270"/>
      <c r="Q5" s="270"/>
      <c r="R5" s="270"/>
      <c r="S5" s="270"/>
    </row>
    <row r="6" spans="1:19" x14ac:dyDescent="0.25">
      <c r="A6" s="522"/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4"/>
      <c r="M6" s="270"/>
      <c r="N6" s="270"/>
      <c r="O6" s="270"/>
      <c r="P6" s="270"/>
      <c r="Q6" s="270"/>
      <c r="R6" s="270"/>
      <c r="S6" s="270"/>
    </row>
    <row r="7" spans="1:19" x14ac:dyDescent="0.25">
      <c r="A7" s="522"/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4"/>
      <c r="M7" s="270"/>
      <c r="N7" s="270"/>
      <c r="O7" s="270"/>
      <c r="P7" s="270"/>
      <c r="Q7" s="270"/>
      <c r="R7" s="270"/>
      <c r="S7" s="270"/>
    </row>
    <row r="8" spans="1:19" x14ac:dyDescent="0.25">
      <c r="A8" s="522"/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4"/>
      <c r="M8" s="270"/>
      <c r="N8" s="270"/>
      <c r="O8" s="270"/>
      <c r="P8" s="270"/>
      <c r="Q8" s="270"/>
      <c r="R8" s="270"/>
      <c r="S8" s="270"/>
    </row>
    <row r="9" spans="1:19" x14ac:dyDescent="0.25">
      <c r="A9" s="522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4"/>
      <c r="M9" s="270"/>
      <c r="N9" s="270"/>
      <c r="O9" s="270"/>
      <c r="P9" s="270"/>
      <c r="Q9" s="270"/>
      <c r="R9" s="270"/>
      <c r="S9" s="270"/>
    </row>
    <row r="10" spans="1:19" x14ac:dyDescent="0.25">
      <c r="A10" s="522"/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4"/>
      <c r="M10" s="270"/>
      <c r="N10" s="270"/>
      <c r="O10" s="270"/>
      <c r="P10" s="270"/>
      <c r="Q10" s="270"/>
      <c r="R10" s="270"/>
      <c r="S10" s="270"/>
    </row>
    <row r="11" spans="1:19" x14ac:dyDescent="0.25">
      <c r="A11" s="522"/>
      <c r="B11" s="523"/>
      <c r="C11" s="523"/>
      <c r="D11" s="523"/>
      <c r="E11" s="523"/>
      <c r="F11" s="523"/>
      <c r="G11" s="523"/>
      <c r="H11" s="523"/>
      <c r="I11" s="523"/>
      <c r="J11" s="523"/>
      <c r="K11" s="523"/>
      <c r="L11" s="524"/>
      <c r="M11" s="270"/>
      <c r="N11" s="270"/>
      <c r="O11" s="270"/>
      <c r="P11" s="270"/>
      <c r="Q11" s="270"/>
      <c r="R11" s="270"/>
      <c r="S11" s="270"/>
    </row>
    <row r="12" spans="1:19" x14ac:dyDescent="0.25">
      <c r="A12" s="522"/>
      <c r="B12" s="523"/>
      <c r="C12" s="523"/>
      <c r="D12" s="523"/>
      <c r="E12" s="523"/>
      <c r="F12" s="523"/>
      <c r="G12" s="523"/>
      <c r="H12" s="523"/>
      <c r="I12" s="523"/>
      <c r="J12" s="523"/>
      <c r="K12" s="523"/>
      <c r="L12" s="524"/>
      <c r="M12" s="270"/>
      <c r="N12" s="270"/>
      <c r="O12" s="270"/>
      <c r="P12" s="270"/>
      <c r="Q12" s="270"/>
      <c r="R12" s="270"/>
      <c r="S12" s="270"/>
    </row>
    <row r="13" spans="1:19" x14ac:dyDescent="0.25">
      <c r="A13" s="522"/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4"/>
      <c r="M13" s="270"/>
      <c r="N13" s="270"/>
      <c r="O13" s="270"/>
      <c r="P13" s="270"/>
      <c r="Q13" s="270"/>
      <c r="R13" s="270"/>
      <c r="S13" s="270"/>
    </row>
    <row r="14" spans="1:19" ht="15.75" thickBot="1" x14ac:dyDescent="0.3">
      <c r="A14" s="525"/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7"/>
      <c r="M14" s="270"/>
      <c r="N14" s="270"/>
      <c r="O14" s="270"/>
      <c r="P14" s="270"/>
      <c r="Q14" s="270"/>
      <c r="R14" s="270"/>
      <c r="S14" s="270"/>
    </row>
    <row r="15" spans="1:19" x14ac:dyDescent="0.25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</row>
    <row r="16" spans="1:19" x14ac:dyDescent="0.25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1:19" x14ac:dyDescent="0.25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1:19" x14ac:dyDescent="0.25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19" spans="1:19" x14ac:dyDescent="0.25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</row>
    <row r="20" spans="1:19" x14ac:dyDescent="0.25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</row>
    <row r="21" spans="1:19" x14ac:dyDescent="0.25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</row>
    <row r="22" spans="1:19" x14ac:dyDescent="0.25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</row>
    <row r="23" spans="1:19" x14ac:dyDescent="0.25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</sheetData>
  <mergeCells count="1">
    <mergeCell ref="A5:L14"/>
  </mergeCells>
  <hyperlinks>
    <hyperlink ref="A3" r:id="rId1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workbookViewId="0">
      <selection activeCell="P27" sqref="P27"/>
    </sheetView>
  </sheetViews>
  <sheetFormatPr defaultRowHeight="15" x14ac:dyDescent="0.25"/>
  <cols>
    <col min="1" max="16384" width="9.140625" style="53"/>
  </cols>
  <sheetData>
    <row r="1" spans="1:12" x14ac:dyDescent="0.25">
      <c r="A1" s="53" t="s">
        <v>143</v>
      </c>
    </row>
    <row r="3" spans="1:12" x14ac:dyDescent="0.25">
      <c r="A3" s="295" t="s">
        <v>141</v>
      </c>
    </row>
    <row r="4" spans="1:12" x14ac:dyDescent="0.25">
      <c r="A4" s="296" t="s">
        <v>144</v>
      </c>
    </row>
    <row r="5" spans="1:12" x14ac:dyDescent="0.25">
      <c r="A5" s="523"/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</row>
    <row r="6" spans="1:12" x14ac:dyDescent="0.25">
      <c r="A6" s="523"/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</row>
    <row r="7" spans="1:12" x14ac:dyDescent="0.25">
      <c r="A7" s="523"/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</row>
    <row r="8" spans="1:12" x14ac:dyDescent="0.25">
      <c r="A8" s="523"/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</row>
    <row r="9" spans="1:12" x14ac:dyDescent="0.25">
      <c r="A9" s="523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</row>
    <row r="10" spans="1:12" x14ac:dyDescent="0.25">
      <c r="A10" s="523"/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</row>
    <row r="11" spans="1:12" x14ac:dyDescent="0.25">
      <c r="A11" s="523"/>
      <c r="B11" s="523"/>
      <c r="C11" s="523"/>
      <c r="D11" s="523"/>
      <c r="E11" s="523"/>
      <c r="F11" s="523"/>
      <c r="G11" s="523"/>
      <c r="H11" s="523"/>
      <c r="I11" s="523"/>
      <c r="J11" s="523"/>
      <c r="K11" s="523"/>
      <c r="L11" s="523"/>
    </row>
    <row r="12" spans="1:12" x14ac:dyDescent="0.25">
      <c r="A12" s="523"/>
      <c r="B12" s="523"/>
      <c r="C12" s="523"/>
      <c r="D12" s="523"/>
      <c r="E12" s="523"/>
      <c r="F12" s="523"/>
      <c r="G12" s="523"/>
      <c r="H12" s="523"/>
      <c r="I12" s="523"/>
      <c r="J12" s="523"/>
      <c r="K12" s="523"/>
      <c r="L12" s="523"/>
    </row>
    <row r="13" spans="1:12" x14ac:dyDescent="0.25">
      <c r="A13" s="523"/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</row>
    <row r="14" spans="1:12" x14ac:dyDescent="0.25">
      <c r="A14" s="523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</row>
  </sheetData>
  <mergeCells count="1">
    <mergeCell ref="A5:L14"/>
  </mergeCells>
  <hyperlinks>
    <hyperlink ref="A3" r:id="rId1" xr:uid="{00000000-0004-0000-0A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Imagem</vt:lpstr>
      <vt:lpstr>Inicio</vt:lpstr>
      <vt:lpstr>Exer1_Média</vt:lpstr>
      <vt:lpstr>Exer2_média</vt:lpstr>
      <vt:lpstr>Explica_Mediana1</vt:lpstr>
      <vt:lpstr>Explica Mediana2</vt:lpstr>
      <vt:lpstr>Exer1_mediana</vt:lpstr>
      <vt:lpstr>Exer2_mediana_</vt:lpstr>
      <vt:lpstr>Desvio P</vt:lpstr>
      <vt:lpstr>FIM</vt:lpstr>
      <vt:lpstr>Plan1</vt:lpstr>
      <vt:lpstr>plan 2</vt:lpstr>
      <vt:lpstr>Plan3</vt:lpstr>
      <vt:lpstr>Plan4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</dc:creator>
  <cp:lastModifiedBy>24328</cp:lastModifiedBy>
  <dcterms:created xsi:type="dcterms:W3CDTF">2012-09-02T02:01:47Z</dcterms:created>
  <dcterms:modified xsi:type="dcterms:W3CDTF">2021-07-23T18:46:03Z</dcterms:modified>
</cp:coreProperties>
</file>